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__Unterricht\_UnterrichtsplanungSeminarfach\Excel\"/>
    </mc:Choice>
  </mc:AlternateContent>
  <xr:revisionPtr revIDLastSave="0" documentId="12_ncr:500000_{C61D8421-3A4E-4D2B-B70A-DE97DBA60CD5}" xr6:coauthVersionLast="31" xr6:coauthVersionMax="31" xr10:uidLastSave="{00000000-0000-0000-0000-000000000000}"/>
  <bookViews>
    <workbookView xWindow="120" yWindow="105" windowWidth="25440" windowHeight="12600" xr2:uid="{00000000-000D-0000-FFFF-FFFF00000000}"/>
  </bookViews>
  <sheets>
    <sheet name="Berechnungen" sheetId="1" r:id="rId1"/>
    <sheet name="Tilgung zu Zins" sheetId="4" r:id="rId2"/>
  </sheets>
  <definedNames>
    <definedName name="AnzahlSonder">Berechnungen!$H$6</definedName>
    <definedName name="AnzahlZahlungen">Berechnungen!$H$4</definedName>
    <definedName name="AnzahlZahlungNach">Berechnungen!$K$4</definedName>
    <definedName name="Daten_eingegeben">IF(Kreditsumme*Zinssatz*LaufzeitJahre*ZahlungenProJahr*Startdatum&gt;0,1,0)</definedName>
    <definedName name="Enddatum">Berechnungen!$K$2</definedName>
    <definedName name="EnddatumNach">Berechnungen!$K$6</definedName>
    <definedName name="Gesamtzahlung">Berechnungen!$H$10</definedName>
    <definedName name="Kopfzeile">ROW(Tabelle1[#Headers])</definedName>
    <definedName name="Kreditsumme">Berechnungen!$E$2</definedName>
    <definedName name="LaufzeitJahre">Berechnungen!$E$6</definedName>
    <definedName name="letzteZeile">IF(AnzahlZahlungen&lt;&gt;"",AnzahlZahlungen+Kopfzeile,0)</definedName>
    <definedName name="maxBereich" comment="Der maximale Bereich, in denen Zahlen errechnet werden können, da die Eingabe auf maximal 50Jahre begrenzt ist (entspricht 600 Monaten) Daher also Zeile 16 bis 616 (Beginn des ersten Datums)+600 als Zeile des Bereichs und Spalte B - K">Berechnungen!$B$16:$K$604</definedName>
    <definedName name="Rate">Berechnungen!$H$2</definedName>
    <definedName name="Restsumme">Berechnungen!$E$10</definedName>
    <definedName name="Startdatum">Berechnungen!$E$12</definedName>
    <definedName name="ZinsGesamt">Berechnungen!$H$12</definedName>
    <definedName name="Zinssatz">Berechnungen!$E$4</definedName>
    <definedName name="Zusatzmonate">Berechnungen!$E$8</definedName>
  </definedNames>
  <calcPr calcId="162913"/>
</workbook>
</file>

<file path=xl/calcChain.xml><?xml version="1.0" encoding="utf-8"?>
<calcChain xmlns="http://schemas.openxmlformats.org/spreadsheetml/2006/main">
  <c r="J8" i="1" l="1"/>
  <c r="K8" i="1" s="1"/>
  <c r="C329" i="1" l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H6" i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H8" i="1"/>
  <c r="D16" i="1"/>
  <c r="H4" i="1"/>
  <c r="H2" i="1" s="1"/>
  <c r="E16" i="1" l="1"/>
  <c r="K2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I16" i="1"/>
  <c r="K16" i="1" s="1"/>
  <c r="G16" i="1" l="1"/>
  <c r="H16" i="1" l="1"/>
  <c r="K12" i="1" s="1"/>
  <c r="J16" i="1"/>
  <c r="D17" i="1" l="1"/>
  <c r="I17" i="1" s="1"/>
  <c r="K17" i="1" s="1"/>
  <c r="E17" i="1" l="1"/>
  <c r="G17" i="1" l="1"/>
  <c r="H17" i="1" s="1"/>
  <c r="D18" i="1" s="1"/>
  <c r="E18" i="1" s="1"/>
  <c r="G18" i="1" s="1"/>
  <c r="J18" i="1" l="1"/>
  <c r="J17" i="1"/>
  <c r="I18" i="1"/>
  <c r="K18" i="1" s="1"/>
  <c r="H18" i="1" l="1"/>
  <c r="D19" i="1" s="1"/>
  <c r="I19" i="1" s="1"/>
  <c r="K19" i="1" s="1"/>
  <c r="E19" i="1" l="1"/>
  <c r="G19" i="1" s="1"/>
  <c r="H19" i="1" l="1"/>
  <c r="D20" i="1" s="1"/>
  <c r="I20" i="1" s="1"/>
  <c r="K20" i="1" s="1"/>
  <c r="J19" i="1"/>
  <c r="E20" i="1" l="1"/>
  <c r="G20" i="1" s="1"/>
  <c r="H20" i="1" s="1"/>
  <c r="D21" i="1" s="1"/>
  <c r="I21" i="1" s="1"/>
  <c r="K21" i="1" s="1"/>
  <c r="E21" i="1" l="1"/>
  <c r="G21" i="1" s="1"/>
  <c r="H21" i="1" s="1"/>
  <c r="D22" i="1" s="1"/>
  <c r="E22" i="1" s="1"/>
  <c r="G22" i="1" s="1"/>
  <c r="J20" i="1"/>
  <c r="I22" i="1" l="1"/>
  <c r="K22" i="1" s="1"/>
  <c r="J21" i="1"/>
  <c r="J22" i="1"/>
  <c r="H22" i="1" l="1"/>
  <c r="D23" i="1" s="1"/>
  <c r="I23" i="1" s="1"/>
  <c r="K23" i="1" s="1"/>
  <c r="E23" i="1" l="1"/>
  <c r="G23" i="1" s="1"/>
  <c r="H23" i="1" l="1"/>
  <c r="D24" i="1" s="1"/>
  <c r="E24" i="1" s="1"/>
  <c r="G24" i="1" s="1"/>
  <c r="J24" i="1" s="1"/>
  <c r="J23" i="1"/>
  <c r="I24" i="1" l="1"/>
  <c r="K24" i="1" s="1"/>
  <c r="H24" i="1" l="1"/>
  <c r="D25" i="1" s="1"/>
  <c r="E25" i="1" s="1"/>
  <c r="G25" i="1" s="1"/>
  <c r="J25" i="1" s="1"/>
  <c r="I25" i="1" l="1"/>
  <c r="K25" i="1" s="1"/>
  <c r="H25" i="1" l="1"/>
  <c r="D26" i="1" s="1"/>
  <c r="I26" i="1" s="1"/>
  <c r="K26" i="1" s="1"/>
  <c r="E26" i="1" l="1"/>
  <c r="G26" i="1" s="1"/>
  <c r="H26" i="1" s="1"/>
  <c r="D27" i="1" s="1"/>
  <c r="I27" i="1" s="1"/>
  <c r="K27" i="1" s="1"/>
  <c r="J26" i="1" l="1"/>
  <c r="E27" i="1"/>
  <c r="G27" i="1" s="1"/>
  <c r="J27" i="1" s="1"/>
  <c r="H27" i="1" l="1"/>
  <c r="D28" i="1" s="1"/>
  <c r="E28" i="1" s="1"/>
  <c r="I28" i="1" l="1"/>
  <c r="K28" i="1" s="1"/>
  <c r="G28" i="1"/>
  <c r="J28" i="1" s="1"/>
  <c r="H28" i="1" l="1"/>
  <c r="D29" i="1" s="1"/>
  <c r="E29" i="1" s="1"/>
  <c r="G29" i="1" s="1"/>
  <c r="I29" i="1" l="1"/>
  <c r="K29" i="1" s="1"/>
  <c r="J29" i="1"/>
  <c r="H29" i="1" l="1"/>
  <c r="D30" i="1" s="1"/>
  <c r="I30" i="1" s="1"/>
  <c r="K30" i="1" s="1"/>
  <c r="E30" i="1" l="1"/>
  <c r="G30" i="1" s="1"/>
  <c r="J30" i="1" s="1"/>
  <c r="H30" i="1" l="1"/>
  <c r="D31" i="1" s="1"/>
  <c r="I31" i="1" s="1"/>
  <c r="K31" i="1" s="1"/>
  <c r="E31" i="1" l="1"/>
  <c r="G31" i="1" s="1"/>
  <c r="J31" i="1" s="1"/>
  <c r="H31" i="1" l="1"/>
  <c r="D32" i="1" s="1"/>
  <c r="I32" i="1" s="1"/>
  <c r="K32" i="1" s="1"/>
  <c r="E32" i="1" l="1"/>
  <c r="G32" i="1" s="1"/>
  <c r="J32" i="1" s="1"/>
  <c r="H32" i="1" l="1"/>
  <c r="D33" i="1" s="1"/>
  <c r="I33" i="1" s="1"/>
  <c r="K33" i="1" s="1"/>
  <c r="E33" i="1" l="1"/>
  <c r="G33" i="1" s="1"/>
  <c r="H33" i="1" s="1"/>
  <c r="D34" i="1" s="1"/>
  <c r="I34" i="1" s="1"/>
  <c r="K34" i="1" s="1"/>
  <c r="E34" i="1" l="1"/>
  <c r="G34" i="1" s="1"/>
  <c r="J34" i="1" s="1"/>
  <c r="J33" i="1"/>
  <c r="H34" i="1" l="1"/>
  <c r="D35" i="1" s="1"/>
  <c r="E35" i="1" s="1"/>
  <c r="G35" i="1" s="1"/>
  <c r="J35" i="1" s="1"/>
  <c r="I35" i="1" l="1"/>
  <c r="K35" i="1" s="1"/>
  <c r="H35" i="1" l="1"/>
  <c r="D36" i="1" s="1"/>
  <c r="I36" i="1" s="1"/>
  <c r="K36" i="1" s="1"/>
  <c r="E36" i="1" l="1"/>
  <c r="G36" i="1" s="1"/>
  <c r="H36" i="1" s="1"/>
  <c r="D37" i="1" s="1"/>
  <c r="E37" i="1" s="1"/>
  <c r="G37" i="1" s="1"/>
  <c r="J37" i="1" s="1"/>
  <c r="J36" i="1" l="1"/>
  <c r="I37" i="1"/>
  <c r="K37" i="1" s="1"/>
  <c r="H37" i="1" l="1"/>
  <c r="D38" i="1" s="1"/>
  <c r="I38" i="1" s="1"/>
  <c r="K38" i="1" s="1"/>
  <c r="E38" i="1" l="1"/>
  <c r="G38" i="1" s="1"/>
  <c r="H38" i="1" s="1"/>
  <c r="D39" i="1" s="1"/>
  <c r="I39" i="1" s="1"/>
  <c r="K39" i="1" s="1"/>
  <c r="E39" i="1" l="1"/>
  <c r="G39" i="1" s="1"/>
  <c r="H39" i="1" s="1"/>
  <c r="D40" i="1" s="1"/>
  <c r="I40" i="1" s="1"/>
  <c r="K40" i="1" s="1"/>
  <c r="J38" i="1"/>
  <c r="J39" i="1" l="1"/>
  <c r="E40" i="1"/>
  <c r="G40" i="1" s="1"/>
  <c r="H40" i="1" s="1"/>
  <c r="D41" i="1" s="1"/>
  <c r="I41" i="1" s="1"/>
  <c r="K41" i="1" s="1"/>
  <c r="J40" i="1" l="1"/>
  <c r="E41" i="1"/>
  <c r="G41" i="1" s="1"/>
  <c r="H41" i="1" s="1"/>
  <c r="D42" i="1" s="1"/>
  <c r="E42" i="1" s="1"/>
  <c r="G42" i="1" s="1"/>
  <c r="J42" i="1" s="1"/>
  <c r="J41" i="1" l="1"/>
  <c r="I42" i="1"/>
  <c r="K42" i="1" s="1"/>
  <c r="H42" i="1" l="1"/>
  <c r="D43" i="1" s="1"/>
  <c r="I43" i="1" s="1"/>
  <c r="K43" i="1" s="1"/>
  <c r="E43" i="1" l="1"/>
  <c r="G43" i="1" s="1"/>
  <c r="H43" i="1" s="1"/>
  <c r="D44" i="1" s="1"/>
  <c r="E44" i="1" s="1"/>
  <c r="G44" i="1" s="1"/>
  <c r="J44" i="1" l="1"/>
  <c r="I44" i="1"/>
  <c r="K44" i="1" s="1"/>
  <c r="J43" i="1"/>
  <c r="H44" i="1" l="1"/>
  <c r="D45" i="1" s="1"/>
  <c r="I45" i="1" s="1"/>
  <c r="K45" i="1" s="1"/>
  <c r="E45" i="1" l="1"/>
  <c r="G45" i="1" s="1"/>
  <c r="H45" i="1" s="1"/>
  <c r="D46" i="1" s="1"/>
  <c r="J45" i="1" l="1"/>
  <c r="I46" i="1"/>
  <c r="K46" i="1" s="1"/>
  <c r="E46" i="1"/>
  <c r="G46" i="1" s="1"/>
  <c r="H46" i="1" l="1"/>
  <c r="D47" i="1" s="1"/>
  <c r="I47" i="1" s="1"/>
  <c r="K47" i="1" s="1"/>
  <c r="J46" i="1"/>
  <c r="E47" i="1" l="1"/>
  <c r="G47" i="1" s="1"/>
  <c r="H47" i="1" s="1"/>
  <c r="D48" i="1" s="1"/>
  <c r="E48" i="1" l="1"/>
  <c r="G48" i="1" s="1"/>
  <c r="J48" i="1" s="1"/>
  <c r="I48" i="1"/>
  <c r="K48" i="1" s="1"/>
  <c r="J47" i="1"/>
  <c r="H48" i="1" l="1"/>
  <c r="D49" i="1" s="1"/>
  <c r="I49" i="1" s="1"/>
  <c r="K49" i="1" s="1"/>
  <c r="E49" i="1" l="1"/>
  <c r="G49" i="1" s="1"/>
  <c r="H49" i="1" s="1"/>
  <c r="D50" i="1" s="1"/>
  <c r="J49" i="1" l="1"/>
  <c r="E50" i="1"/>
  <c r="G50" i="1" s="1"/>
  <c r="J50" i="1" s="1"/>
  <c r="I50" i="1"/>
  <c r="K50" i="1" s="1"/>
  <c r="H50" i="1" l="1"/>
  <c r="D51" i="1" s="1"/>
  <c r="I51" i="1" s="1"/>
  <c r="K51" i="1" s="1"/>
  <c r="E51" i="1" l="1"/>
  <c r="G51" i="1" s="1"/>
  <c r="H51" i="1" s="1"/>
  <c r="D52" i="1" s="1"/>
  <c r="I52" i="1" s="1"/>
  <c r="K52" i="1" s="1"/>
  <c r="E52" i="1" l="1"/>
  <c r="G52" i="1" s="1"/>
  <c r="H52" i="1" s="1"/>
  <c r="D53" i="1" s="1"/>
  <c r="E53" i="1" s="1"/>
  <c r="G53" i="1" s="1"/>
  <c r="J51" i="1"/>
  <c r="J52" i="1" l="1"/>
  <c r="I53" i="1"/>
  <c r="K53" i="1" s="1"/>
  <c r="J53" i="1"/>
  <c r="H53" i="1" l="1"/>
  <c r="D54" i="1" s="1"/>
  <c r="E54" i="1" s="1"/>
  <c r="G54" i="1" s="1"/>
  <c r="J54" i="1" s="1"/>
  <c r="I54" i="1" l="1"/>
  <c r="K54" i="1" s="1"/>
  <c r="H54" i="1" l="1"/>
  <c r="D55" i="1" s="1"/>
  <c r="I55" i="1" l="1"/>
  <c r="K55" i="1" s="1"/>
  <c r="E55" i="1"/>
  <c r="G55" i="1" s="1"/>
  <c r="H55" i="1" l="1"/>
  <c r="D56" i="1" s="1"/>
  <c r="E56" i="1" s="1"/>
  <c r="G56" i="1" s="1"/>
  <c r="J55" i="1"/>
  <c r="I56" i="1" l="1"/>
  <c r="K56" i="1" s="1"/>
  <c r="J56" i="1"/>
  <c r="H56" i="1" l="1"/>
  <c r="D57" i="1" s="1"/>
  <c r="I57" i="1" s="1"/>
  <c r="K57" i="1" s="1"/>
  <c r="E57" i="1"/>
  <c r="G57" i="1" s="1"/>
  <c r="H57" i="1" s="1"/>
  <c r="D58" i="1" s="1"/>
  <c r="E58" i="1" s="1"/>
  <c r="G58" i="1" s="1"/>
  <c r="J58" i="1" s="1"/>
  <c r="J57" i="1" l="1"/>
  <c r="I58" i="1"/>
  <c r="K58" i="1" s="1"/>
  <c r="H58" i="1" l="1"/>
  <c r="D59" i="1" s="1"/>
  <c r="I59" i="1" s="1"/>
  <c r="K59" i="1" s="1"/>
  <c r="E59" i="1" l="1"/>
  <c r="G59" i="1" s="1"/>
  <c r="J59" i="1" s="1"/>
  <c r="H59" i="1" l="1"/>
  <c r="D60" i="1" s="1"/>
  <c r="E60" i="1" s="1"/>
  <c r="G60" i="1" s="1"/>
  <c r="J60" i="1" s="1"/>
  <c r="I60" i="1" l="1"/>
  <c r="K60" i="1" s="1"/>
  <c r="H60" i="1" l="1"/>
  <c r="D61" i="1" s="1"/>
  <c r="E61" i="1" s="1"/>
  <c r="G61" i="1" s="1"/>
  <c r="J61" i="1" s="1"/>
  <c r="I61" i="1" l="1"/>
  <c r="K61" i="1" s="1"/>
  <c r="H61" i="1" l="1"/>
  <c r="D62" i="1" s="1"/>
  <c r="E62" i="1" s="1"/>
  <c r="G62" i="1" s="1"/>
  <c r="J62" i="1" s="1"/>
  <c r="I62" i="1" l="1"/>
  <c r="K62" i="1" s="1"/>
  <c r="H62" i="1" l="1"/>
  <c r="D63" i="1" s="1"/>
  <c r="I63" i="1" l="1"/>
  <c r="K63" i="1" s="1"/>
  <c r="E63" i="1"/>
  <c r="G63" i="1" s="1"/>
  <c r="H63" i="1" l="1"/>
  <c r="D64" i="1" s="1"/>
  <c r="I64" i="1" s="1"/>
  <c r="K64" i="1" s="1"/>
  <c r="J63" i="1"/>
  <c r="E64" i="1"/>
  <c r="G64" i="1" s="1"/>
  <c r="H64" i="1" s="1"/>
  <c r="D65" i="1" s="1"/>
  <c r="I65" i="1" s="1"/>
  <c r="K65" i="1" s="1"/>
  <c r="E65" i="1" l="1"/>
  <c r="G65" i="1" s="1"/>
  <c r="J65" i="1" s="1"/>
  <c r="J64" i="1"/>
  <c r="H65" i="1" l="1"/>
  <c r="D66" i="1" s="1"/>
  <c r="I66" i="1" s="1"/>
  <c r="K66" i="1" s="1"/>
  <c r="E66" i="1" l="1"/>
  <c r="G66" i="1" s="1"/>
  <c r="H66" i="1" s="1"/>
  <c r="D67" i="1" s="1"/>
  <c r="I67" i="1" s="1"/>
  <c r="K67" i="1" s="1"/>
  <c r="J66" i="1" l="1"/>
  <c r="E67" i="1"/>
  <c r="G67" i="1" s="1"/>
  <c r="J67" i="1" s="1"/>
  <c r="H67" i="1" l="1"/>
  <c r="D68" i="1" s="1"/>
  <c r="E68" i="1" s="1"/>
  <c r="G68" i="1" s="1"/>
  <c r="I68" i="1" l="1"/>
  <c r="K68" i="1" s="1"/>
  <c r="J68" i="1"/>
  <c r="H68" i="1" l="1"/>
  <c r="D69" i="1" s="1"/>
  <c r="E69" i="1" s="1"/>
  <c r="G69" i="1" s="1"/>
  <c r="J69" i="1" s="1"/>
  <c r="I69" i="1"/>
  <c r="K69" i="1" s="1"/>
  <c r="H69" i="1" l="1"/>
  <c r="D70" i="1" s="1"/>
  <c r="I70" i="1" l="1"/>
  <c r="K70" i="1" s="1"/>
  <c r="E70" i="1"/>
  <c r="G70" i="1" s="1"/>
  <c r="J70" i="1" l="1"/>
  <c r="H70" i="1"/>
  <c r="D71" i="1" s="1"/>
  <c r="I71" i="1" l="1"/>
  <c r="K71" i="1" s="1"/>
  <c r="E71" i="1"/>
  <c r="G71" i="1" s="1"/>
  <c r="J71" i="1" l="1"/>
  <c r="H71" i="1"/>
  <c r="D72" i="1" s="1"/>
  <c r="I72" i="1" l="1"/>
  <c r="K72" i="1" s="1"/>
  <c r="E72" i="1"/>
  <c r="G72" i="1" s="1"/>
  <c r="H72" i="1" l="1"/>
  <c r="D73" i="1" s="1"/>
  <c r="I73" i="1" s="1"/>
  <c r="K73" i="1" s="1"/>
  <c r="J72" i="1"/>
  <c r="E73" i="1" l="1"/>
  <c r="G73" i="1" s="1"/>
  <c r="H73" i="1" s="1"/>
  <c r="D74" i="1" s="1"/>
  <c r="I74" i="1" s="1"/>
  <c r="K74" i="1" s="1"/>
  <c r="J73" i="1" l="1"/>
  <c r="E74" i="1"/>
  <c r="G74" i="1" s="1"/>
  <c r="H74" i="1" s="1"/>
  <c r="D75" i="1" s="1"/>
  <c r="I75" i="1" l="1"/>
  <c r="K75" i="1" s="1"/>
  <c r="E75" i="1"/>
  <c r="G75" i="1" s="1"/>
  <c r="J75" i="1" s="1"/>
  <c r="J74" i="1"/>
  <c r="H75" i="1" l="1"/>
  <c r="D76" i="1" s="1"/>
  <c r="E76" i="1" l="1"/>
  <c r="G76" i="1" s="1"/>
  <c r="J76" i="1" s="1"/>
  <c r="I76" i="1"/>
  <c r="K76" i="1" s="1"/>
  <c r="H76" i="1" l="1"/>
  <c r="D77" i="1" s="1"/>
  <c r="E77" i="1" l="1"/>
  <c r="G77" i="1" s="1"/>
  <c r="I77" i="1"/>
  <c r="K77" i="1" s="1"/>
  <c r="J77" i="1" l="1"/>
  <c r="H77" i="1"/>
  <c r="D78" i="1" s="1"/>
  <c r="E78" i="1" l="1"/>
  <c r="G78" i="1" s="1"/>
  <c r="J78" i="1" s="1"/>
  <c r="I78" i="1"/>
  <c r="K78" i="1" s="1"/>
  <c r="H78" i="1" l="1"/>
  <c r="D79" i="1" s="1"/>
  <c r="E79" i="1" l="1"/>
  <c r="G79" i="1" s="1"/>
  <c r="I79" i="1"/>
  <c r="K79" i="1" s="1"/>
  <c r="H79" i="1" l="1"/>
  <c r="D80" i="1" s="1"/>
  <c r="J79" i="1"/>
  <c r="E80" i="1" l="1"/>
  <c r="G80" i="1" s="1"/>
  <c r="J80" i="1" s="1"/>
  <c r="I80" i="1"/>
  <c r="K80" i="1" s="1"/>
  <c r="H80" i="1" l="1"/>
  <c r="D81" i="1" s="1"/>
  <c r="E81" i="1" s="1"/>
  <c r="G81" i="1" s="1"/>
  <c r="I81" i="1" l="1"/>
  <c r="K81" i="1" s="1"/>
  <c r="J81" i="1"/>
  <c r="H81" i="1" l="1"/>
  <c r="D82" i="1" s="1"/>
  <c r="E82" i="1" l="1"/>
  <c r="G82" i="1" s="1"/>
  <c r="I82" i="1"/>
  <c r="K82" i="1" s="1"/>
  <c r="J82" i="1" l="1"/>
  <c r="H82" i="1"/>
  <c r="D83" i="1" s="1"/>
  <c r="E83" i="1" l="1"/>
  <c r="G83" i="1" s="1"/>
  <c r="I83" i="1"/>
  <c r="K83" i="1" s="1"/>
  <c r="H83" i="1" l="1"/>
  <c r="D84" i="1" s="1"/>
  <c r="J83" i="1"/>
  <c r="I84" i="1" l="1"/>
  <c r="K84" i="1" s="1"/>
  <c r="E84" i="1"/>
  <c r="G84" i="1" s="1"/>
  <c r="J84" i="1" l="1"/>
  <c r="H84" i="1"/>
  <c r="D85" i="1" s="1"/>
  <c r="E85" i="1" l="1"/>
  <c r="G85" i="1" s="1"/>
  <c r="I85" i="1"/>
  <c r="K85" i="1" s="1"/>
  <c r="H85" i="1" l="1"/>
  <c r="D86" i="1" s="1"/>
  <c r="I86" i="1" s="1"/>
  <c r="K86" i="1" s="1"/>
  <c r="J85" i="1"/>
  <c r="E86" i="1" l="1"/>
  <c r="G86" i="1" s="1"/>
  <c r="H86" i="1" s="1"/>
  <c r="D87" i="1" s="1"/>
  <c r="I87" i="1" s="1"/>
  <c r="K87" i="1" s="1"/>
  <c r="J86" i="1" l="1"/>
  <c r="E87" i="1"/>
  <c r="G87" i="1" s="1"/>
  <c r="H87" i="1" s="1"/>
  <c r="D88" i="1" s="1"/>
  <c r="E88" i="1" s="1"/>
  <c r="G88" i="1" s="1"/>
  <c r="J88" i="1" s="1"/>
  <c r="J87" i="1" l="1"/>
  <c r="I88" i="1"/>
  <c r="K88" i="1" s="1"/>
  <c r="H88" i="1" l="1"/>
  <c r="D89" i="1" s="1"/>
  <c r="I89" i="1" l="1"/>
  <c r="K89" i="1" s="1"/>
  <c r="E89" i="1"/>
  <c r="G89" i="1" s="1"/>
  <c r="H89" i="1" l="1"/>
  <c r="D90" i="1" s="1"/>
  <c r="J89" i="1"/>
  <c r="I90" i="1" l="1"/>
  <c r="K90" i="1" s="1"/>
  <c r="E90" i="1"/>
  <c r="G90" i="1" s="1"/>
  <c r="H90" i="1" l="1"/>
  <c r="D91" i="1" s="1"/>
  <c r="J90" i="1"/>
  <c r="I91" i="1" l="1"/>
  <c r="K91" i="1" s="1"/>
  <c r="E91" i="1"/>
  <c r="G91" i="1" s="1"/>
  <c r="J91" i="1" l="1"/>
  <c r="H91" i="1"/>
  <c r="D92" i="1" s="1"/>
  <c r="I92" i="1" l="1"/>
  <c r="K92" i="1" s="1"/>
  <c r="E92" i="1"/>
  <c r="G92" i="1" s="1"/>
  <c r="H92" i="1" s="1"/>
  <c r="D93" i="1" s="1"/>
  <c r="J92" i="1" l="1"/>
  <c r="I93" i="1"/>
  <c r="K93" i="1" s="1"/>
  <c r="E93" i="1"/>
  <c r="G93" i="1" s="1"/>
  <c r="J93" i="1" l="1"/>
  <c r="H93" i="1"/>
  <c r="D94" i="1" s="1"/>
  <c r="I94" i="1" l="1"/>
  <c r="K94" i="1" s="1"/>
  <c r="E94" i="1"/>
  <c r="G94" i="1" s="1"/>
  <c r="H94" i="1" s="1"/>
  <c r="D95" i="1" s="1"/>
  <c r="I95" i="1" l="1"/>
  <c r="K95" i="1" s="1"/>
  <c r="E95" i="1"/>
  <c r="G95" i="1" s="1"/>
  <c r="J94" i="1"/>
  <c r="H95" i="1" l="1"/>
  <c r="D96" i="1" s="1"/>
  <c r="I96" i="1" s="1"/>
  <c r="K96" i="1" s="1"/>
  <c r="J95" i="1"/>
  <c r="E96" i="1" l="1"/>
  <c r="G96" i="1" s="1"/>
  <c r="H96" i="1" s="1"/>
  <c r="D97" i="1" s="1"/>
  <c r="E97" i="1" s="1"/>
  <c r="G97" i="1" s="1"/>
  <c r="I97" i="1" l="1"/>
  <c r="K97" i="1" s="1"/>
  <c r="J96" i="1"/>
  <c r="J97" i="1"/>
  <c r="H97" i="1" l="1"/>
  <c r="D98" i="1" s="1"/>
  <c r="E98" i="1" s="1"/>
  <c r="G98" i="1" s="1"/>
  <c r="J98" i="1" l="1"/>
  <c r="I98" i="1"/>
  <c r="K98" i="1" s="1"/>
  <c r="H98" i="1" l="1"/>
  <c r="D99" i="1" s="1"/>
  <c r="E99" i="1" l="1"/>
  <c r="G99" i="1" s="1"/>
  <c r="I99" i="1"/>
  <c r="K99" i="1" s="1"/>
  <c r="J99" i="1" l="1"/>
  <c r="H99" i="1"/>
  <c r="D100" i="1" s="1"/>
  <c r="I100" i="1" l="1"/>
  <c r="K100" i="1" s="1"/>
  <c r="E100" i="1"/>
  <c r="G100" i="1" s="1"/>
  <c r="H100" i="1" l="1"/>
  <c r="D101" i="1" s="1"/>
  <c r="J100" i="1"/>
  <c r="I101" i="1" l="1"/>
  <c r="K101" i="1" s="1"/>
  <c r="E101" i="1"/>
  <c r="G101" i="1" s="1"/>
  <c r="H101" i="1" s="1"/>
  <c r="D102" i="1" s="1"/>
  <c r="E102" i="1" l="1"/>
  <c r="G102" i="1" s="1"/>
  <c r="I102" i="1"/>
  <c r="K102" i="1" s="1"/>
  <c r="J102" i="1"/>
  <c r="J101" i="1"/>
  <c r="H102" i="1" l="1"/>
  <c r="D103" i="1" s="1"/>
  <c r="I103" i="1" l="1"/>
  <c r="K103" i="1" s="1"/>
  <c r="E103" i="1"/>
  <c r="G103" i="1" s="1"/>
  <c r="H103" i="1" s="1"/>
  <c r="D104" i="1" s="1"/>
  <c r="E104" i="1" l="1"/>
  <c r="G104" i="1" s="1"/>
  <c r="I104" i="1"/>
  <c r="K104" i="1" s="1"/>
  <c r="J104" i="1"/>
  <c r="J103" i="1"/>
  <c r="H104" i="1" l="1"/>
  <c r="D105" i="1" s="1"/>
  <c r="I105" i="1" l="1"/>
  <c r="K105" i="1" s="1"/>
  <c r="E105" i="1"/>
  <c r="G105" i="1" s="1"/>
  <c r="H105" i="1" s="1"/>
  <c r="D106" i="1" s="1"/>
  <c r="I106" i="1" l="1"/>
  <c r="K106" i="1" s="1"/>
  <c r="E106" i="1"/>
  <c r="G106" i="1" s="1"/>
  <c r="H106" i="1" s="1"/>
  <c r="D107" i="1" s="1"/>
  <c r="J105" i="1"/>
  <c r="E107" i="1" l="1"/>
  <c r="G107" i="1" s="1"/>
  <c r="I107" i="1"/>
  <c r="K107" i="1" s="1"/>
  <c r="J107" i="1"/>
  <c r="J106" i="1"/>
  <c r="H107" i="1" l="1"/>
  <c r="D108" i="1" s="1"/>
  <c r="E108" i="1" l="1"/>
  <c r="G108" i="1" s="1"/>
  <c r="I108" i="1"/>
  <c r="K108" i="1" s="1"/>
  <c r="J108" i="1"/>
  <c r="H108" i="1" l="1"/>
  <c r="D109" i="1" s="1"/>
  <c r="E109" i="1" l="1"/>
  <c r="G109" i="1" s="1"/>
  <c r="I109" i="1"/>
  <c r="K109" i="1" s="1"/>
  <c r="J109" i="1"/>
  <c r="H109" i="1" l="1"/>
  <c r="D110" i="1" s="1"/>
  <c r="I110" i="1" l="1"/>
  <c r="K110" i="1" s="1"/>
  <c r="E110" i="1"/>
  <c r="G110" i="1" s="1"/>
  <c r="H110" i="1" s="1"/>
  <c r="D111" i="1" s="1"/>
  <c r="I111" i="1" l="1"/>
  <c r="K111" i="1" s="1"/>
  <c r="E111" i="1"/>
  <c r="G111" i="1" s="1"/>
  <c r="H111" i="1" s="1"/>
  <c r="D112" i="1" s="1"/>
  <c r="J110" i="1"/>
  <c r="I112" i="1" l="1"/>
  <c r="K112" i="1" s="1"/>
  <c r="E112" i="1"/>
  <c r="G112" i="1" s="1"/>
  <c r="H112" i="1" s="1"/>
  <c r="D113" i="1" s="1"/>
  <c r="I113" i="1" s="1"/>
  <c r="K113" i="1" s="1"/>
  <c r="J111" i="1"/>
  <c r="E113" i="1" l="1"/>
  <c r="G113" i="1" s="1"/>
  <c r="J112" i="1"/>
  <c r="J113" i="1"/>
  <c r="H113" i="1"/>
  <c r="D114" i="1" s="1"/>
  <c r="I114" i="1" l="1"/>
  <c r="K114" i="1" s="1"/>
  <c r="E114" i="1"/>
  <c r="G114" i="1" s="1"/>
  <c r="H114" i="1" l="1"/>
  <c r="D115" i="1" s="1"/>
  <c r="J114" i="1"/>
  <c r="I115" i="1"/>
  <c r="K115" i="1" s="1"/>
  <c r="E115" i="1"/>
  <c r="G115" i="1" s="1"/>
  <c r="H115" i="1" l="1"/>
  <c r="D116" i="1" s="1"/>
  <c r="J115" i="1"/>
  <c r="I116" i="1" l="1"/>
  <c r="K116" i="1" s="1"/>
  <c r="E116" i="1"/>
  <c r="G116" i="1" s="1"/>
  <c r="H116" i="1" l="1"/>
  <c r="D117" i="1" s="1"/>
  <c r="J116" i="1"/>
  <c r="I117" i="1" l="1"/>
  <c r="K117" i="1" s="1"/>
  <c r="E117" i="1"/>
  <c r="G117" i="1" s="1"/>
  <c r="J117" i="1" l="1"/>
  <c r="H117" i="1"/>
  <c r="D118" i="1" s="1"/>
  <c r="E118" i="1" l="1"/>
  <c r="G118" i="1" s="1"/>
  <c r="I118" i="1"/>
  <c r="K118" i="1" s="1"/>
  <c r="J118" i="1" l="1"/>
  <c r="H118" i="1"/>
  <c r="D119" i="1" s="1"/>
  <c r="I119" i="1" l="1"/>
  <c r="K119" i="1" s="1"/>
  <c r="E119" i="1"/>
  <c r="G119" i="1" s="1"/>
  <c r="H119" i="1" s="1"/>
  <c r="D120" i="1" s="1"/>
  <c r="J119" i="1" l="1"/>
  <c r="E120" i="1"/>
  <c r="G120" i="1" s="1"/>
  <c r="I120" i="1"/>
  <c r="K120" i="1" s="1"/>
  <c r="H120" i="1" l="1"/>
  <c r="D121" i="1" s="1"/>
  <c r="E121" i="1"/>
  <c r="G121" i="1" s="1"/>
  <c r="I121" i="1"/>
  <c r="K121" i="1" s="1"/>
  <c r="J120" i="1"/>
  <c r="H121" i="1" l="1"/>
  <c r="D122" i="1" s="1"/>
  <c r="J121" i="1"/>
  <c r="I122" i="1"/>
  <c r="K122" i="1" s="1"/>
  <c r="E122" i="1"/>
  <c r="G122" i="1" s="1"/>
  <c r="H122" i="1" s="1"/>
  <c r="D123" i="1" s="1"/>
  <c r="J122" i="1" l="1"/>
  <c r="I123" i="1"/>
  <c r="K123" i="1" s="1"/>
  <c r="E123" i="1"/>
  <c r="G123" i="1" s="1"/>
  <c r="J123" i="1" l="1"/>
  <c r="H123" i="1"/>
  <c r="D124" i="1" s="1"/>
  <c r="I124" i="1" l="1"/>
  <c r="K124" i="1" s="1"/>
  <c r="E124" i="1"/>
  <c r="G124" i="1" s="1"/>
  <c r="H124" i="1" l="1"/>
  <c r="D125" i="1" s="1"/>
  <c r="J124" i="1"/>
  <c r="I125" i="1" l="1"/>
  <c r="K125" i="1" s="1"/>
  <c r="E125" i="1"/>
  <c r="G125" i="1" s="1"/>
  <c r="J125" i="1" l="1"/>
  <c r="H125" i="1"/>
  <c r="D126" i="1" s="1"/>
  <c r="E126" i="1" l="1"/>
  <c r="G126" i="1" s="1"/>
  <c r="I126" i="1"/>
  <c r="K126" i="1" s="1"/>
  <c r="H126" i="1" l="1"/>
  <c r="D127" i="1" s="1"/>
  <c r="J126" i="1"/>
  <c r="I127" i="1"/>
  <c r="K127" i="1" s="1"/>
  <c r="E127" i="1"/>
  <c r="G127" i="1" s="1"/>
  <c r="H127" i="1" s="1"/>
  <c r="D128" i="1" s="1"/>
  <c r="E128" i="1" l="1"/>
  <c r="G128" i="1" s="1"/>
  <c r="I128" i="1"/>
  <c r="K128" i="1" s="1"/>
  <c r="J127" i="1"/>
  <c r="J128" i="1" l="1"/>
  <c r="H128" i="1"/>
  <c r="D129" i="1" s="1"/>
  <c r="I129" i="1" l="1"/>
  <c r="K129" i="1" s="1"/>
  <c r="E129" i="1"/>
  <c r="G129" i="1" s="1"/>
  <c r="H129" i="1" s="1"/>
  <c r="D130" i="1" s="1"/>
  <c r="I130" i="1" l="1"/>
  <c r="K130" i="1" s="1"/>
  <c r="E130" i="1"/>
  <c r="G130" i="1" s="1"/>
  <c r="J129" i="1"/>
  <c r="H130" i="1" l="1"/>
  <c r="D131" i="1" s="1"/>
  <c r="E131" i="1" s="1"/>
  <c r="G131" i="1" s="1"/>
  <c r="J130" i="1"/>
  <c r="I131" i="1" l="1"/>
  <c r="K131" i="1" s="1"/>
  <c r="J131" i="1"/>
  <c r="H131" i="1" l="1"/>
  <c r="D132" i="1" s="1"/>
  <c r="I132" i="1" s="1"/>
  <c r="K132" i="1" s="1"/>
  <c r="E132" i="1"/>
  <c r="G132" i="1" s="1"/>
  <c r="J132" i="1" s="1"/>
  <c r="H132" i="1" l="1"/>
  <c r="D133" i="1" s="1"/>
  <c r="I133" i="1" s="1"/>
  <c r="K133" i="1" s="1"/>
  <c r="E133" i="1" l="1"/>
  <c r="G133" i="1" s="1"/>
  <c r="H133" i="1" s="1"/>
  <c r="D134" i="1" s="1"/>
  <c r="E134" i="1" s="1"/>
  <c r="G134" i="1" s="1"/>
  <c r="I134" i="1" l="1"/>
  <c r="K134" i="1" s="1"/>
  <c r="J133" i="1"/>
  <c r="J134" i="1"/>
  <c r="H134" i="1" l="1"/>
  <c r="D135" i="1" s="1"/>
  <c r="E135" i="1" s="1"/>
  <c r="G135" i="1" s="1"/>
  <c r="I135" i="1" l="1"/>
  <c r="K135" i="1" s="1"/>
  <c r="J135" i="1"/>
  <c r="H135" i="1" l="1"/>
  <c r="D136" i="1" s="1"/>
  <c r="E136" i="1" l="1"/>
  <c r="G136" i="1" s="1"/>
  <c r="I136" i="1"/>
  <c r="K136" i="1" s="1"/>
  <c r="H136" i="1" l="1"/>
  <c r="D137" i="1" s="1"/>
  <c r="I137" i="1"/>
  <c r="K137" i="1" s="1"/>
  <c r="E137" i="1"/>
  <c r="G137" i="1" s="1"/>
  <c r="J137" i="1" s="1"/>
  <c r="J136" i="1"/>
  <c r="H137" i="1" l="1"/>
  <c r="D138" i="1" s="1"/>
  <c r="E138" i="1" l="1"/>
  <c r="G138" i="1" s="1"/>
  <c r="I138" i="1"/>
  <c r="K138" i="1" s="1"/>
  <c r="J138" i="1" l="1"/>
  <c r="H138" i="1"/>
  <c r="D139" i="1" s="1"/>
  <c r="I139" i="1" l="1"/>
  <c r="K139" i="1" s="1"/>
  <c r="E139" i="1"/>
  <c r="G139" i="1" s="1"/>
  <c r="H139" i="1" s="1"/>
  <c r="D140" i="1" s="1"/>
  <c r="J139" i="1" l="1"/>
  <c r="I140" i="1"/>
  <c r="K140" i="1" s="1"/>
  <c r="E140" i="1"/>
  <c r="G140" i="1" s="1"/>
  <c r="H140" i="1" s="1"/>
  <c r="D141" i="1" s="1"/>
  <c r="E141" i="1" l="1"/>
  <c r="G141" i="1" s="1"/>
  <c r="J141" i="1" s="1"/>
  <c r="I141" i="1"/>
  <c r="K141" i="1" s="1"/>
  <c r="J140" i="1"/>
  <c r="H141" i="1" l="1"/>
  <c r="D142" i="1" s="1"/>
  <c r="I142" i="1" l="1"/>
  <c r="K142" i="1" s="1"/>
  <c r="E142" i="1"/>
  <c r="G142" i="1" s="1"/>
  <c r="J142" i="1" l="1"/>
  <c r="H142" i="1"/>
  <c r="D143" i="1" s="1"/>
  <c r="E143" i="1" l="1"/>
  <c r="G143" i="1" s="1"/>
  <c r="I143" i="1"/>
  <c r="K143" i="1" s="1"/>
  <c r="J143" i="1"/>
  <c r="H143" i="1" l="1"/>
  <c r="D144" i="1" s="1"/>
  <c r="I144" i="1"/>
  <c r="K144" i="1" s="1"/>
  <c r="E144" i="1"/>
  <c r="G144" i="1" s="1"/>
  <c r="H144" i="1" s="1"/>
  <c r="D145" i="1" s="1"/>
  <c r="E145" i="1" l="1"/>
  <c r="G145" i="1" s="1"/>
  <c r="I145" i="1"/>
  <c r="K145" i="1" s="1"/>
  <c r="J145" i="1"/>
  <c r="J144" i="1"/>
  <c r="H145" i="1" l="1"/>
  <c r="D146" i="1" s="1"/>
  <c r="I146" i="1" l="1"/>
  <c r="K146" i="1" s="1"/>
  <c r="E146" i="1"/>
  <c r="G146" i="1" s="1"/>
  <c r="H146" i="1" s="1"/>
  <c r="D147" i="1" s="1"/>
  <c r="E147" i="1" l="1"/>
  <c r="G147" i="1" s="1"/>
  <c r="I147" i="1"/>
  <c r="K147" i="1" s="1"/>
  <c r="J147" i="1"/>
  <c r="J146" i="1"/>
  <c r="H147" i="1" l="1"/>
  <c r="D148" i="1" s="1"/>
  <c r="E148" i="1" l="1"/>
  <c r="G148" i="1" s="1"/>
  <c r="I148" i="1"/>
  <c r="K148" i="1" s="1"/>
  <c r="H148" i="1" l="1"/>
  <c r="D149" i="1" s="1"/>
  <c r="J148" i="1"/>
  <c r="E149" i="1" l="1"/>
  <c r="G149" i="1" s="1"/>
  <c r="I149" i="1"/>
  <c r="K149" i="1" s="1"/>
  <c r="J149" i="1"/>
  <c r="H149" i="1" l="1"/>
  <c r="D150" i="1" s="1"/>
  <c r="I150" i="1" l="1"/>
  <c r="K150" i="1" s="1"/>
  <c r="E150" i="1"/>
  <c r="G150" i="1" s="1"/>
  <c r="J150" i="1" l="1"/>
  <c r="H150" i="1"/>
  <c r="D151" i="1" s="1"/>
  <c r="I151" i="1" l="1"/>
  <c r="K151" i="1" s="1"/>
  <c r="E151" i="1"/>
  <c r="G151" i="1" s="1"/>
  <c r="H151" i="1" s="1"/>
  <c r="D152" i="1" s="1"/>
  <c r="I152" i="1" l="1"/>
  <c r="K152" i="1" s="1"/>
  <c r="E152" i="1"/>
  <c r="G152" i="1" s="1"/>
  <c r="J151" i="1"/>
  <c r="J152" i="1" l="1"/>
  <c r="H152" i="1"/>
  <c r="D153" i="1" s="1"/>
  <c r="E153" i="1" l="1"/>
  <c r="G153" i="1" s="1"/>
  <c r="I153" i="1"/>
  <c r="K153" i="1" s="1"/>
  <c r="H153" i="1" l="1"/>
  <c r="D154" i="1" s="1"/>
  <c r="J153" i="1"/>
  <c r="E154" i="1"/>
  <c r="G154" i="1" s="1"/>
  <c r="J154" i="1" s="1"/>
  <c r="I154" i="1"/>
  <c r="K154" i="1" s="1"/>
  <c r="H154" i="1" l="1"/>
  <c r="D155" i="1" s="1"/>
  <c r="I155" i="1"/>
  <c r="K155" i="1" s="1"/>
  <c r="E155" i="1"/>
  <c r="G155" i="1" s="1"/>
  <c r="H155" i="1" s="1"/>
  <c r="D156" i="1" s="1"/>
  <c r="J155" i="1" l="1"/>
  <c r="E156" i="1"/>
  <c r="G156" i="1" s="1"/>
  <c r="I156" i="1"/>
  <c r="K156" i="1" s="1"/>
  <c r="J156" i="1" l="1"/>
  <c r="H156" i="1"/>
  <c r="D157" i="1" s="1"/>
  <c r="E157" i="1" l="1"/>
  <c r="G157" i="1" s="1"/>
  <c r="J157" i="1" s="1"/>
  <c r="I157" i="1"/>
  <c r="K157" i="1" s="1"/>
  <c r="H157" i="1" l="1"/>
  <c r="D158" i="1" s="1"/>
  <c r="E158" i="1" l="1"/>
  <c r="G158" i="1" s="1"/>
  <c r="J158" i="1" s="1"/>
  <c r="I158" i="1"/>
  <c r="K158" i="1" s="1"/>
  <c r="H158" i="1" l="1"/>
  <c r="D159" i="1" s="1"/>
  <c r="E159" i="1" l="1"/>
  <c r="G159" i="1" s="1"/>
  <c r="I159" i="1"/>
  <c r="K159" i="1" s="1"/>
  <c r="J159" i="1" l="1"/>
  <c r="H159" i="1"/>
  <c r="D160" i="1" s="1"/>
  <c r="I160" i="1" l="1"/>
  <c r="K160" i="1" s="1"/>
  <c r="E160" i="1"/>
  <c r="G160" i="1" s="1"/>
  <c r="H160" i="1" s="1"/>
  <c r="D161" i="1" s="1"/>
  <c r="J160" i="1" l="1"/>
  <c r="E161" i="1"/>
  <c r="G161" i="1" s="1"/>
  <c r="I161" i="1"/>
  <c r="K161" i="1" s="1"/>
  <c r="J161" i="1" l="1"/>
  <c r="H161" i="1"/>
  <c r="D162" i="1" s="1"/>
  <c r="E162" i="1" l="1"/>
  <c r="G162" i="1" s="1"/>
  <c r="I162" i="1"/>
  <c r="K162" i="1" s="1"/>
  <c r="H162" i="1" l="1"/>
  <c r="D163" i="1" s="1"/>
  <c r="J162" i="1"/>
  <c r="E163" i="1"/>
  <c r="G163" i="1" s="1"/>
  <c r="J163" i="1" s="1"/>
  <c r="I163" i="1"/>
  <c r="K163" i="1" s="1"/>
  <c r="H163" i="1" l="1"/>
  <c r="D164" i="1" s="1"/>
  <c r="E164" i="1" s="1"/>
  <c r="G164" i="1" s="1"/>
  <c r="I164" i="1" l="1"/>
  <c r="K164" i="1" s="1"/>
  <c r="J164" i="1"/>
  <c r="H164" i="1" l="1"/>
  <c r="D165" i="1" s="1"/>
  <c r="E165" i="1"/>
  <c r="G165" i="1" s="1"/>
  <c r="I165" i="1"/>
  <c r="K165" i="1" s="1"/>
  <c r="H165" i="1" l="1"/>
  <c r="D166" i="1" s="1"/>
  <c r="J165" i="1"/>
  <c r="I166" i="1"/>
  <c r="K166" i="1" s="1"/>
  <c r="E166" i="1"/>
  <c r="G166" i="1" s="1"/>
  <c r="J166" i="1" l="1"/>
  <c r="H166" i="1"/>
  <c r="D167" i="1" s="1"/>
  <c r="I167" i="1" l="1"/>
  <c r="K167" i="1" s="1"/>
  <c r="E167" i="1"/>
  <c r="G167" i="1" s="1"/>
  <c r="J167" i="1" s="1"/>
  <c r="H167" i="1" l="1"/>
  <c r="D168" i="1" s="1"/>
  <c r="E168" i="1" l="1"/>
  <c r="G168" i="1" s="1"/>
  <c r="I168" i="1"/>
  <c r="K168" i="1" s="1"/>
  <c r="H168" i="1" l="1"/>
  <c r="D169" i="1" s="1"/>
  <c r="J168" i="1"/>
  <c r="E169" i="1"/>
  <c r="G169" i="1" s="1"/>
  <c r="J169" i="1" s="1"/>
  <c r="I169" i="1"/>
  <c r="K169" i="1" s="1"/>
  <c r="H169" i="1" l="1"/>
  <c r="D170" i="1" s="1"/>
  <c r="I170" i="1" l="1"/>
  <c r="K170" i="1" s="1"/>
  <c r="E170" i="1"/>
  <c r="G170" i="1" s="1"/>
  <c r="J170" i="1" l="1"/>
  <c r="H170" i="1"/>
  <c r="D171" i="1" s="1"/>
  <c r="I171" i="1" l="1"/>
  <c r="K171" i="1" s="1"/>
  <c r="E171" i="1"/>
  <c r="G171" i="1" s="1"/>
  <c r="J171" i="1" s="1"/>
  <c r="H171" i="1" l="1"/>
  <c r="D172" i="1" s="1"/>
  <c r="E172" i="1" l="1"/>
  <c r="G172" i="1" s="1"/>
  <c r="I172" i="1"/>
  <c r="K172" i="1" s="1"/>
  <c r="J172" i="1" l="1"/>
  <c r="H172" i="1"/>
  <c r="D173" i="1" s="1"/>
  <c r="I173" i="1" l="1"/>
  <c r="K173" i="1" s="1"/>
  <c r="E173" i="1"/>
  <c r="G173" i="1" s="1"/>
  <c r="H173" i="1" s="1"/>
  <c r="D174" i="1" s="1"/>
  <c r="J173" i="1" l="1"/>
  <c r="I174" i="1"/>
  <c r="K174" i="1" s="1"/>
  <c r="E174" i="1"/>
  <c r="G174" i="1" s="1"/>
  <c r="H174" i="1" s="1"/>
  <c r="D175" i="1" s="1"/>
  <c r="J174" i="1" l="1"/>
  <c r="E175" i="1"/>
  <c r="G175" i="1" s="1"/>
  <c r="I175" i="1"/>
  <c r="K175" i="1" s="1"/>
  <c r="J175" i="1"/>
  <c r="H175" i="1" l="1"/>
  <c r="D176" i="1" s="1"/>
  <c r="I176" i="1"/>
  <c r="K176" i="1" s="1"/>
  <c r="E176" i="1"/>
  <c r="G176" i="1" s="1"/>
  <c r="H176" i="1" s="1"/>
  <c r="D177" i="1" s="1"/>
  <c r="J176" i="1" l="1"/>
  <c r="E177" i="1"/>
  <c r="G177" i="1" s="1"/>
  <c r="I177" i="1"/>
  <c r="K177" i="1" s="1"/>
  <c r="H177" i="1" l="1"/>
  <c r="D178" i="1" s="1"/>
  <c r="E178" i="1"/>
  <c r="G178" i="1" s="1"/>
  <c r="I178" i="1"/>
  <c r="K178" i="1" s="1"/>
  <c r="J177" i="1"/>
  <c r="H178" i="1" l="1"/>
  <c r="D179" i="1" s="1"/>
  <c r="J178" i="1"/>
  <c r="I179" i="1"/>
  <c r="K179" i="1" s="1"/>
  <c r="E179" i="1"/>
  <c r="G179" i="1" s="1"/>
  <c r="H179" i="1" s="1"/>
  <c r="D180" i="1" s="1"/>
  <c r="J179" i="1" l="1"/>
  <c r="E180" i="1"/>
  <c r="G180" i="1" s="1"/>
  <c r="I180" i="1"/>
  <c r="K180" i="1" s="1"/>
  <c r="H180" i="1" l="1"/>
  <c r="D181" i="1" s="1"/>
  <c r="E181" i="1"/>
  <c r="G181" i="1" s="1"/>
  <c r="I181" i="1"/>
  <c r="K181" i="1" s="1"/>
  <c r="J180" i="1"/>
  <c r="J181" i="1" l="1"/>
  <c r="H181" i="1"/>
  <c r="D182" i="1" s="1"/>
  <c r="I182" i="1" l="1"/>
  <c r="K182" i="1" s="1"/>
  <c r="E182" i="1"/>
  <c r="G182" i="1" s="1"/>
  <c r="H182" i="1" l="1"/>
  <c r="D183" i="1" s="1"/>
  <c r="J182" i="1"/>
  <c r="E183" i="1" l="1"/>
  <c r="G183" i="1" s="1"/>
  <c r="I183" i="1"/>
  <c r="K183" i="1" s="1"/>
  <c r="J183" i="1" l="1"/>
  <c r="H183" i="1"/>
  <c r="D184" i="1" s="1"/>
  <c r="E184" i="1" l="1"/>
  <c r="G184" i="1" s="1"/>
  <c r="I184" i="1"/>
  <c r="K184" i="1" s="1"/>
  <c r="J184" i="1" l="1"/>
  <c r="H184" i="1"/>
  <c r="D185" i="1" s="1"/>
  <c r="I185" i="1" l="1"/>
  <c r="K185" i="1" s="1"/>
  <c r="E185" i="1"/>
  <c r="G185" i="1" s="1"/>
  <c r="J185" i="1" s="1"/>
  <c r="H185" i="1" l="1"/>
  <c r="D186" i="1" s="1"/>
  <c r="E186" i="1" l="1"/>
  <c r="G186" i="1" s="1"/>
  <c r="I186" i="1"/>
  <c r="K186" i="1" s="1"/>
  <c r="J186" i="1" l="1"/>
  <c r="H186" i="1"/>
  <c r="D187" i="1" s="1"/>
  <c r="I187" i="1" l="1"/>
  <c r="K187" i="1" s="1"/>
  <c r="E187" i="1"/>
  <c r="G187" i="1" s="1"/>
  <c r="J187" i="1" s="1"/>
  <c r="H187" i="1" l="1"/>
  <c r="D188" i="1" s="1"/>
  <c r="E188" i="1" l="1"/>
  <c r="G188" i="1" s="1"/>
  <c r="I188" i="1"/>
  <c r="K188" i="1" s="1"/>
  <c r="H188" i="1" l="1"/>
  <c r="D189" i="1" s="1"/>
  <c r="J188" i="1"/>
  <c r="I189" i="1"/>
  <c r="K189" i="1" s="1"/>
  <c r="E189" i="1"/>
  <c r="G189" i="1" s="1"/>
  <c r="H189" i="1" s="1"/>
  <c r="D190" i="1" s="1"/>
  <c r="J189" i="1" l="1"/>
  <c r="I190" i="1"/>
  <c r="K190" i="1" s="1"/>
  <c r="E190" i="1"/>
  <c r="G190" i="1" s="1"/>
  <c r="J190" i="1" s="1"/>
  <c r="H190" i="1" l="1"/>
  <c r="D191" i="1" s="1"/>
  <c r="E191" i="1" l="1"/>
  <c r="G191" i="1" s="1"/>
  <c r="I191" i="1"/>
  <c r="K191" i="1" s="1"/>
  <c r="H191" i="1" l="1"/>
  <c r="D192" i="1" s="1"/>
  <c r="I192" i="1" s="1"/>
  <c r="K192" i="1" s="1"/>
  <c r="J191" i="1"/>
  <c r="E192" i="1"/>
  <c r="G192" i="1" s="1"/>
  <c r="H192" i="1" l="1"/>
  <c r="D193" i="1" s="1"/>
  <c r="J192" i="1"/>
  <c r="I193" i="1"/>
  <c r="K193" i="1" s="1"/>
  <c r="E193" i="1"/>
  <c r="G193" i="1" s="1"/>
  <c r="J193" i="1" s="1"/>
  <c r="H193" i="1" l="1"/>
  <c r="D194" i="1" s="1"/>
  <c r="I194" i="1" l="1"/>
  <c r="K194" i="1" s="1"/>
  <c r="E194" i="1"/>
  <c r="G194" i="1" s="1"/>
  <c r="H194" i="1" s="1"/>
  <c r="D195" i="1" s="1"/>
  <c r="J194" i="1" l="1"/>
  <c r="I195" i="1"/>
  <c r="K195" i="1" s="1"/>
  <c r="E195" i="1"/>
  <c r="G195" i="1" s="1"/>
  <c r="H195" i="1" s="1"/>
  <c r="D196" i="1" s="1"/>
  <c r="I196" i="1" s="1"/>
  <c r="K196" i="1" s="1"/>
  <c r="J195" i="1" l="1"/>
  <c r="E196" i="1"/>
  <c r="G196" i="1" s="1"/>
  <c r="J196" i="1" s="1"/>
  <c r="H196" i="1" l="1"/>
  <c r="D197" i="1" s="1"/>
  <c r="I197" i="1" s="1"/>
  <c r="K197" i="1" s="1"/>
  <c r="E197" i="1"/>
  <c r="G197" i="1" s="1"/>
  <c r="J197" i="1" l="1"/>
  <c r="H197" i="1"/>
  <c r="D198" i="1" s="1"/>
  <c r="E198" i="1" l="1"/>
  <c r="G198" i="1" s="1"/>
  <c r="I198" i="1"/>
  <c r="K198" i="1" s="1"/>
  <c r="J198" i="1" l="1"/>
  <c r="H198" i="1"/>
  <c r="D199" i="1" s="1"/>
  <c r="E199" i="1" l="1"/>
  <c r="G199" i="1" s="1"/>
  <c r="I199" i="1"/>
  <c r="K199" i="1" s="1"/>
  <c r="J199" i="1" l="1"/>
  <c r="H199" i="1"/>
  <c r="D200" i="1" s="1"/>
  <c r="E200" i="1" l="1"/>
  <c r="G200" i="1" s="1"/>
  <c r="J200" i="1" s="1"/>
  <c r="I200" i="1"/>
  <c r="K200" i="1" s="1"/>
  <c r="H200" i="1" l="1"/>
  <c r="D201" i="1" s="1"/>
  <c r="E201" i="1" s="1"/>
  <c r="G201" i="1" s="1"/>
  <c r="I201" i="1" l="1"/>
  <c r="K201" i="1" s="1"/>
  <c r="J201" i="1"/>
  <c r="H201" i="1" l="1"/>
  <c r="D202" i="1" s="1"/>
  <c r="E202" i="1" s="1"/>
  <c r="G202" i="1" s="1"/>
  <c r="J202" i="1" s="1"/>
  <c r="I202" i="1" l="1"/>
  <c r="K202" i="1" s="1"/>
  <c r="H202" i="1" l="1"/>
  <c r="D203" i="1" s="1"/>
  <c r="I203" i="1" s="1"/>
  <c r="K203" i="1" s="1"/>
  <c r="E203" i="1"/>
  <c r="G203" i="1" s="1"/>
  <c r="J203" i="1" s="1"/>
  <c r="H203" i="1" l="1"/>
  <c r="D204" i="1" s="1"/>
  <c r="E204" i="1" s="1"/>
  <c r="G204" i="1" s="1"/>
  <c r="I204" i="1" l="1"/>
  <c r="K204" i="1" s="1"/>
  <c r="J204" i="1"/>
  <c r="H204" i="1" l="1"/>
  <c r="D205" i="1" s="1"/>
  <c r="E205" i="1" s="1"/>
  <c r="G205" i="1" s="1"/>
  <c r="J205" i="1" l="1"/>
  <c r="I205" i="1"/>
  <c r="K205" i="1" s="1"/>
  <c r="H205" i="1" l="1"/>
  <c r="D206" i="1" s="1"/>
  <c r="E206" i="1" l="1"/>
  <c r="G206" i="1" s="1"/>
  <c r="I206" i="1"/>
  <c r="K206" i="1" s="1"/>
  <c r="J206" i="1" l="1"/>
  <c r="H206" i="1"/>
  <c r="D207" i="1" s="1"/>
  <c r="E207" i="1" l="1"/>
  <c r="G207" i="1" s="1"/>
  <c r="I207" i="1"/>
  <c r="K207" i="1" s="1"/>
  <c r="H207" i="1" l="1"/>
  <c r="D208" i="1" s="1"/>
  <c r="E208" i="1" s="1"/>
  <c r="G208" i="1" s="1"/>
  <c r="J208" i="1" s="1"/>
  <c r="J207" i="1"/>
  <c r="I208" i="1" l="1"/>
  <c r="K208" i="1" s="1"/>
  <c r="H208" i="1" l="1"/>
  <c r="D209" i="1" s="1"/>
  <c r="I209" i="1" l="1"/>
  <c r="K209" i="1" s="1"/>
  <c r="E209" i="1"/>
  <c r="G209" i="1" s="1"/>
  <c r="H209" i="1" l="1"/>
  <c r="D210" i="1" s="1"/>
  <c r="J209" i="1"/>
  <c r="I210" i="1" l="1"/>
  <c r="K210" i="1" s="1"/>
  <c r="E210" i="1"/>
  <c r="G210" i="1" s="1"/>
  <c r="H210" i="1" l="1"/>
  <c r="D211" i="1" s="1"/>
  <c r="J210" i="1"/>
  <c r="I211" i="1" l="1"/>
  <c r="K211" i="1" s="1"/>
  <c r="E211" i="1"/>
  <c r="G211" i="1" s="1"/>
  <c r="H211" i="1" l="1"/>
  <c r="D212" i="1" s="1"/>
  <c r="J211" i="1"/>
  <c r="E212" i="1" l="1"/>
  <c r="G212" i="1" s="1"/>
  <c r="I212" i="1"/>
  <c r="K212" i="1" s="1"/>
  <c r="H212" i="1" l="1"/>
  <c r="D213" i="1" s="1"/>
  <c r="J212" i="1"/>
  <c r="I213" i="1"/>
  <c r="K213" i="1" s="1"/>
  <c r="E213" i="1"/>
  <c r="G213" i="1" s="1"/>
  <c r="H213" i="1" s="1"/>
  <c r="D214" i="1" s="1"/>
  <c r="J213" i="1" l="1"/>
  <c r="E214" i="1"/>
  <c r="G214" i="1" s="1"/>
  <c r="J214" i="1" s="1"/>
  <c r="I214" i="1"/>
  <c r="K214" i="1" s="1"/>
  <c r="H214" i="1" l="1"/>
  <c r="D215" i="1" s="1"/>
  <c r="I215" i="1" s="1"/>
  <c r="K215" i="1" s="1"/>
  <c r="E215" i="1" l="1"/>
  <c r="G215" i="1" s="1"/>
  <c r="H215" i="1" s="1"/>
  <c r="D216" i="1" s="1"/>
  <c r="I216" i="1" s="1"/>
  <c r="K216" i="1" s="1"/>
  <c r="E216" i="1" l="1"/>
  <c r="G216" i="1" s="1"/>
  <c r="H216" i="1" s="1"/>
  <c r="D217" i="1" s="1"/>
  <c r="I217" i="1" s="1"/>
  <c r="K217" i="1" s="1"/>
  <c r="J215" i="1"/>
  <c r="J216" i="1" l="1"/>
  <c r="E217" i="1"/>
  <c r="G217" i="1" s="1"/>
  <c r="J217" i="1" s="1"/>
  <c r="H217" i="1" l="1"/>
  <c r="D218" i="1" s="1"/>
  <c r="I218" i="1" s="1"/>
  <c r="K218" i="1" s="1"/>
  <c r="E218" i="1" l="1"/>
  <c r="G218" i="1" s="1"/>
  <c r="H218" i="1" s="1"/>
  <c r="D219" i="1" s="1"/>
  <c r="J218" i="1" l="1"/>
  <c r="I219" i="1"/>
  <c r="K219" i="1" s="1"/>
  <c r="E219" i="1"/>
  <c r="G219" i="1" s="1"/>
  <c r="J219" i="1" s="1"/>
  <c r="H219" i="1" l="1"/>
  <c r="D220" i="1" s="1"/>
  <c r="E220" i="1" s="1"/>
  <c r="G220" i="1" s="1"/>
  <c r="I220" i="1"/>
  <c r="K220" i="1" s="1"/>
  <c r="J220" i="1"/>
  <c r="H220" i="1" l="1"/>
  <c r="D221" i="1" s="1"/>
  <c r="E221" i="1" l="1"/>
  <c r="G221" i="1" s="1"/>
  <c r="I221" i="1"/>
  <c r="K221" i="1" s="1"/>
  <c r="H221" i="1" l="1"/>
  <c r="D222" i="1" s="1"/>
  <c r="J221" i="1"/>
  <c r="I222" i="1" l="1"/>
  <c r="K222" i="1" s="1"/>
  <c r="E222" i="1"/>
  <c r="G222" i="1" s="1"/>
  <c r="H222" i="1" l="1"/>
  <c r="D223" i="1" s="1"/>
  <c r="J222" i="1"/>
  <c r="E223" i="1" l="1"/>
  <c r="G223" i="1" s="1"/>
  <c r="I223" i="1"/>
  <c r="K223" i="1" s="1"/>
  <c r="J223" i="1" l="1"/>
  <c r="H223" i="1"/>
  <c r="D224" i="1" s="1"/>
  <c r="I224" i="1" l="1"/>
  <c r="K224" i="1" s="1"/>
  <c r="E224" i="1"/>
  <c r="G224" i="1" s="1"/>
  <c r="H224" i="1" s="1"/>
  <c r="D225" i="1" s="1"/>
  <c r="I225" i="1" l="1"/>
  <c r="K225" i="1" s="1"/>
  <c r="E225" i="1"/>
  <c r="G225" i="1" s="1"/>
  <c r="H225" i="1" s="1"/>
  <c r="D226" i="1" s="1"/>
  <c r="J224" i="1"/>
  <c r="J225" i="1" l="1"/>
  <c r="E226" i="1"/>
  <c r="G226" i="1" s="1"/>
  <c r="I226" i="1"/>
  <c r="K226" i="1" s="1"/>
  <c r="H226" i="1" l="1"/>
  <c r="D227" i="1" s="1"/>
  <c r="J226" i="1"/>
  <c r="E227" i="1"/>
  <c r="G227" i="1" s="1"/>
  <c r="I227" i="1"/>
  <c r="K227" i="1" s="1"/>
  <c r="J227" i="1" l="1"/>
  <c r="H227" i="1"/>
  <c r="D228" i="1" s="1"/>
  <c r="I228" i="1" l="1"/>
  <c r="K228" i="1" s="1"/>
  <c r="E228" i="1"/>
  <c r="G228" i="1" s="1"/>
  <c r="H228" i="1" s="1"/>
  <c r="D229" i="1" s="1"/>
  <c r="I229" i="1" s="1"/>
  <c r="K229" i="1" s="1"/>
  <c r="E229" i="1" l="1"/>
  <c r="G229" i="1" s="1"/>
  <c r="H229" i="1" s="1"/>
  <c r="D230" i="1" s="1"/>
  <c r="I230" i="1" s="1"/>
  <c r="K230" i="1" s="1"/>
  <c r="J228" i="1"/>
  <c r="J229" i="1"/>
  <c r="E230" i="1" l="1"/>
  <c r="G230" i="1" s="1"/>
  <c r="H230" i="1" s="1"/>
  <c r="D231" i="1" s="1"/>
  <c r="I231" i="1" s="1"/>
  <c r="K231" i="1" s="1"/>
  <c r="J230" i="1" l="1"/>
  <c r="E231" i="1"/>
  <c r="G231" i="1" s="1"/>
  <c r="H231" i="1" l="1"/>
  <c r="D232" i="1" s="1"/>
  <c r="J231" i="1"/>
  <c r="E232" i="1" l="1"/>
  <c r="G232" i="1" s="1"/>
  <c r="I232" i="1"/>
  <c r="K232" i="1" s="1"/>
  <c r="J232" i="1" l="1"/>
  <c r="H232" i="1"/>
  <c r="D233" i="1" s="1"/>
  <c r="E233" i="1" l="1"/>
  <c r="G233" i="1" s="1"/>
  <c r="I233" i="1"/>
  <c r="K233" i="1" s="1"/>
  <c r="H233" i="1" l="1"/>
  <c r="D234" i="1" s="1"/>
  <c r="J233" i="1"/>
  <c r="I234" i="1" l="1"/>
  <c r="K234" i="1" s="1"/>
  <c r="E234" i="1"/>
  <c r="G234" i="1" s="1"/>
  <c r="J234" i="1" l="1"/>
  <c r="H234" i="1"/>
  <c r="D235" i="1" s="1"/>
  <c r="E235" i="1" l="1"/>
  <c r="G235" i="1" s="1"/>
  <c r="I235" i="1"/>
  <c r="K235" i="1" s="1"/>
  <c r="H235" i="1" l="1"/>
  <c r="D236" i="1" s="1"/>
  <c r="J235" i="1"/>
  <c r="I236" i="1"/>
  <c r="K236" i="1" s="1"/>
  <c r="E236" i="1"/>
  <c r="G236" i="1" s="1"/>
  <c r="H236" i="1" s="1"/>
  <c r="D237" i="1" s="1"/>
  <c r="E237" i="1" l="1"/>
  <c r="G237" i="1" s="1"/>
  <c r="I237" i="1"/>
  <c r="K237" i="1" s="1"/>
  <c r="J237" i="1"/>
  <c r="J236" i="1"/>
  <c r="H237" i="1" l="1"/>
  <c r="D238" i="1" s="1"/>
  <c r="E238" i="1"/>
  <c r="G238" i="1" s="1"/>
  <c r="I238" i="1"/>
  <c r="K238" i="1" s="1"/>
  <c r="H238" i="1" l="1"/>
  <c r="D239" i="1" s="1"/>
  <c r="J238" i="1"/>
  <c r="I239" i="1" l="1"/>
  <c r="K239" i="1" s="1"/>
  <c r="E239" i="1"/>
  <c r="G239" i="1" s="1"/>
  <c r="H239" i="1" s="1"/>
  <c r="D240" i="1" s="1"/>
  <c r="J239" i="1" l="1"/>
  <c r="E240" i="1"/>
  <c r="G240" i="1" s="1"/>
  <c r="I240" i="1"/>
  <c r="K240" i="1" s="1"/>
  <c r="H240" i="1" l="1"/>
  <c r="D241" i="1" s="1"/>
  <c r="J240" i="1"/>
  <c r="E241" i="1"/>
  <c r="G241" i="1" s="1"/>
  <c r="I241" i="1"/>
  <c r="K241" i="1" s="1"/>
  <c r="H241" i="1" l="1"/>
  <c r="D242" i="1" s="1"/>
  <c r="J241" i="1"/>
  <c r="E242" i="1"/>
  <c r="G242" i="1" s="1"/>
  <c r="I242" i="1"/>
  <c r="K242" i="1" s="1"/>
  <c r="J242" i="1" l="1"/>
  <c r="H242" i="1"/>
  <c r="D243" i="1" s="1"/>
  <c r="I243" i="1" l="1"/>
  <c r="K243" i="1" s="1"/>
  <c r="E243" i="1"/>
  <c r="G243" i="1" s="1"/>
  <c r="H243" i="1" s="1"/>
  <c r="D244" i="1" s="1"/>
  <c r="J243" i="1" l="1"/>
  <c r="E244" i="1"/>
  <c r="G244" i="1" s="1"/>
  <c r="J244" i="1" s="1"/>
  <c r="I244" i="1"/>
  <c r="K244" i="1" s="1"/>
  <c r="H244" i="1" l="1"/>
  <c r="D245" i="1" s="1"/>
  <c r="I245" i="1" l="1"/>
  <c r="K245" i="1" s="1"/>
  <c r="E245" i="1"/>
  <c r="G245" i="1" s="1"/>
  <c r="H245" i="1" s="1"/>
  <c r="D246" i="1" s="1"/>
  <c r="J245" i="1" l="1"/>
  <c r="E246" i="1"/>
  <c r="G246" i="1" s="1"/>
  <c r="I246" i="1"/>
  <c r="K246" i="1" s="1"/>
  <c r="H246" i="1" l="1"/>
  <c r="D247" i="1" s="1"/>
  <c r="J246" i="1"/>
  <c r="E247" i="1"/>
  <c r="G247" i="1" s="1"/>
  <c r="I247" i="1"/>
  <c r="K247" i="1" s="1"/>
  <c r="J247" i="1" l="1"/>
  <c r="H247" i="1"/>
  <c r="D248" i="1" s="1"/>
  <c r="E248" i="1" l="1"/>
  <c r="G248" i="1" s="1"/>
  <c r="I248" i="1"/>
  <c r="K248" i="1" s="1"/>
  <c r="J248" i="1" l="1"/>
  <c r="H248" i="1"/>
  <c r="D249" i="1" s="1"/>
  <c r="I249" i="1" l="1"/>
  <c r="K249" i="1" s="1"/>
  <c r="E249" i="1"/>
  <c r="G249" i="1" s="1"/>
  <c r="H249" i="1" s="1"/>
  <c r="D250" i="1" s="1"/>
  <c r="I250" i="1" l="1"/>
  <c r="K250" i="1" s="1"/>
  <c r="E250" i="1"/>
  <c r="G250" i="1" s="1"/>
  <c r="J249" i="1"/>
  <c r="J250" i="1" l="1"/>
  <c r="H250" i="1"/>
  <c r="D251" i="1" s="1"/>
  <c r="I251" i="1" l="1"/>
  <c r="K251" i="1" s="1"/>
  <c r="E251" i="1"/>
  <c r="G251" i="1" s="1"/>
  <c r="H251" i="1" s="1"/>
  <c r="D252" i="1" s="1"/>
  <c r="J251" i="1" l="1"/>
  <c r="E252" i="1"/>
  <c r="G252" i="1" s="1"/>
  <c r="I252" i="1"/>
  <c r="K252" i="1" s="1"/>
  <c r="J252" i="1" l="1"/>
  <c r="H252" i="1"/>
  <c r="D253" i="1" s="1"/>
  <c r="E253" i="1" l="1"/>
  <c r="G253" i="1" s="1"/>
  <c r="I253" i="1"/>
  <c r="K253" i="1" s="1"/>
  <c r="J253" i="1"/>
  <c r="H253" i="1" l="1"/>
  <c r="D254" i="1" s="1"/>
  <c r="E254" i="1" s="1"/>
  <c r="G254" i="1" s="1"/>
  <c r="I254" i="1"/>
  <c r="K254" i="1" s="1"/>
  <c r="J254" i="1" l="1"/>
  <c r="H254" i="1"/>
  <c r="D255" i="1" s="1"/>
  <c r="E255" i="1" l="1"/>
  <c r="G255" i="1" s="1"/>
  <c r="I255" i="1"/>
  <c r="K255" i="1" s="1"/>
  <c r="J255" i="1" l="1"/>
  <c r="H255" i="1"/>
  <c r="D256" i="1" s="1"/>
  <c r="I256" i="1" l="1"/>
  <c r="K256" i="1" s="1"/>
  <c r="E256" i="1"/>
  <c r="G256" i="1" s="1"/>
  <c r="H256" i="1" s="1"/>
  <c r="D257" i="1" s="1"/>
  <c r="J256" i="1" l="1"/>
  <c r="I257" i="1"/>
  <c r="K257" i="1" s="1"/>
  <c r="E257" i="1"/>
  <c r="G257" i="1" s="1"/>
  <c r="H257" i="1" s="1"/>
  <c r="D258" i="1" s="1"/>
  <c r="J257" i="1" l="1"/>
  <c r="I258" i="1"/>
  <c r="K258" i="1" s="1"/>
  <c r="E258" i="1"/>
  <c r="G258" i="1" s="1"/>
  <c r="J258" i="1" l="1"/>
  <c r="H258" i="1"/>
  <c r="D259" i="1" s="1"/>
  <c r="E259" i="1" l="1"/>
  <c r="G259" i="1" s="1"/>
  <c r="I259" i="1"/>
  <c r="K259" i="1" s="1"/>
  <c r="J259" i="1"/>
  <c r="H259" i="1" l="1"/>
  <c r="D260" i="1" s="1"/>
  <c r="E260" i="1"/>
  <c r="G260" i="1" s="1"/>
  <c r="I260" i="1"/>
  <c r="K260" i="1" s="1"/>
  <c r="J260" i="1"/>
  <c r="H260" i="1" l="1"/>
  <c r="D261" i="1" s="1"/>
  <c r="E261" i="1"/>
  <c r="G261" i="1" s="1"/>
  <c r="I261" i="1"/>
  <c r="K261" i="1" s="1"/>
  <c r="H261" i="1" l="1"/>
  <c r="D262" i="1" s="1"/>
  <c r="J261" i="1"/>
  <c r="I262" i="1"/>
  <c r="K262" i="1" s="1"/>
  <c r="E262" i="1"/>
  <c r="G262" i="1" s="1"/>
  <c r="J262" i="1" l="1"/>
  <c r="H262" i="1"/>
  <c r="D263" i="1" s="1"/>
  <c r="E263" i="1" l="1"/>
  <c r="G263" i="1" s="1"/>
  <c r="I263" i="1"/>
  <c r="K263" i="1" s="1"/>
  <c r="H263" i="1" l="1"/>
  <c r="D264" i="1" s="1"/>
  <c r="J263" i="1"/>
  <c r="E264" i="1"/>
  <c r="G264" i="1" s="1"/>
  <c r="I264" i="1"/>
  <c r="K264" i="1" s="1"/>
  <c r="J264" i="1" l="1"/>
  <c r="H264" i="1"/>
  <c r="D265" i="1" s="1"/>
  <c r="I265" i="1" l="1"/>
  <c r="K265" i="1" s="1"/>
  <c r="E265" i="1"/>
  <c r="G265" i="1" s="1"/>
  <c r="J265" i="1" l="1"/>
  <c r="H265" i="1"/>
  <c r="D266" i="1" s="1"/>
  <c r="I266" i="1" l="1"/>
  <c r="K266" i="1" s="1"/>
  <c r="E266" i="1"/>
  <c r="G266" i="1" s="1"/>
  <c r="H266" i="1" s="1"/>
  <c r="D267" i="1" s="1"/>
  <c r="J266" i="1" l="1"/>
  <c r="I267" i="1"/>
  <c r="K267" i="1" s="1"/>
  <c r="E267" i="1"/>
  <c r="G267" i="1" s="1"/>
  <c r="J267" i="1" l="1"/>
  <c r="H267" i="1"/>
  <c r="D268" i="1" s="1"/>
  <c r="I268" i="1" l="1"/>
  <c r="K268" i="1" s="1"/>
  <c r="E268" i="1"/>
  <c r="G268" i="1" s="1"/>
  <c r="H268" i="1" s="1"/>
  <c r="D269" i="1" s="1"/>
  <c r="J268" i="1" l="1"/>
  <c r="E269" i="1"/>
  <c r="G269" i="1" s="1"/>
  <c r="J269" i="1" s="1"/>
  <c r="I269" i="1"/>
  <c r="K269" i="1" s="1"/>
  <c r="H269" i="1" l="1"/>
  <c r="D270" i="1" s="1"/>
  <c r="I270" i="1" l="1"/>
  <c r="K270" i="1" s="1"/>
  <c r="E270" i="1"/>
  <c r="G270" i="1" s="1"/>
  <c r="H270" i="1" s="1"/>
  <c r="D271" i="1" s="1"/>
  <c r="J270" i="1" l="1"/>
  <c r="I271" i="1"/>
  <c r="K271" i="1" s="1"/>
  <c r="E271" i="1"/>
  <c r="G271" i="1" s="1"/>
  <c r="H271" i="1" s="1"/>
  <c r="D272" i="1" s="1"/>
  <c r="J271" i="1" l="1"/>
  <c r="E272" i="1"/>
  <c r="G272" i="1" s="1"/>
  <c r="I272" i="1"/>
  <c r="K272" i="1" s="1"/>
  <c r="H272" i="1" l="1"/>
  <c r="D273" i="1" s="1"/>
  <c r="J272" i="1"/>
  <c r="E273" i="1"/>
  <c r="G273" i="1" s="1"/>
  <c r="J273" i="1" s="1"/>
  <c r="I273" i="1"/>
  <c r="K273" i="1" s="1"/>
  <c r="H273" i="1" l="1"/>
  <c r="D274" i="1" s="1"/>
  <c r="E274" i="1" s="1"/>
  <c r="G274" i="1" s="1"/>
  <c r="I274" i="1" l="1"/>
  <c r="K274" i="1" s="1"/>
  <c r="H274" i="1"/>
  <c r="D275" i="1" s="1"/>
  <c r="J274" i="1"/>
  <c r="I275" i="1"/>
  <c r="K275" i="1" s="1"/>
  <c r="E275" i="1"/>
  <c r="G275" i="1" s="1"/>
  <c r="J275" i="1" l="1"/>
  <c r="H275" i="1"/>
  <c r="D276" i="1" s="1"/>
  <c r="E276" i="1" l="1"/>
  <c r="G276" i="1" s="1"/>
  <c r="J276" i="1" s="1"/>
  <c r="I276" i="1"/>
  <c r="K276" i="1" s="1"/>
  <c r="H276" i="1" l="1"/>
  <c r="D277" i="1" s="1"/>
  <c r="I277" i="1" l="1"/>
  <c r="K277" i="1" s="1"/>
  <c r="E277" i="1"/>
  <c r="G277" i="1" s="1"/>
  <c r="H277" i="1" s="1"/>
  <c r="D278" i="1" s="1"/>
  <c r="J277" i="1" l="1"/>
  <c r="E278" i="1"/>
  <c r="G278" i="1" s="1"/>
  <c r="I278" i="1"/>
  <c r="K278" i="1" s="1"/>
  <c r="H278" i="1" l="1"/>
  <c r="D279" i="1" s="1"/>
  <c r="I279" i="1"/>
  <c r="K279" i="1" s="1"/>
  <c r="E279" i="1"/>
  <c r="G279" i="1" s="1"/>
  <c r="H279" i="1" s="1"/>
  <c r="D280" i="1" s="1"/>
  <c r="J278" i="1"/>
  <c r="J279" i="1" l="1"/>
  <c r="E280" i="1"/>
  <c r="G280" i="1" s="1"/>
  <c r="I280" i="1"/>
  <c r="K280" i="1" s="1"/>
  <c r="H280" i="1" l="1"/>
  <c r="D281" i="1" s="1"/>
  <c r="J280" i="1"/>
  <c r="E281" i="1"/>
  <c r="G281" i="1" s="1"/>
  <c r="I281" i="1"/>
  <c r="K281" i="1" s="1"/>
  <c r="J281" i="1" l="1"/>
  <c r="H281" i="1"/>
  <c r="D282" i="1" s="1"/>
  <c r="I282" i="1" l="1"/>
  <c r="K282" i="1" s="1"/>
  <c r="E282" i="1"/>
  <c r="G282" i="1" s="1"/>
  <c r="H282" i="1" s="1"/>
  <c r="D283" i="1" s="1"/>
  <c r="J282" i="1" l="1"/>
  <c r="I283" i="1"/>
  <c r="K283" i="1" s="1"/>
  <c r="E283" i="1"/>
  <c r="G283" i="1" s="1"/>
  <c r="H283" i="1" s="1"/>
  <c r="D284" i="1" s="1"/>
  <c r="J283" i="1" l="1"/>
  <c r="I284" i="1"/>
  <c r="K284" i="1" s="1"/>
  <c r="E284" i="1"/>
  <c r="G284" i="1" s="1"/>
  <c r="H284" i="1" s="1"/>
  <c r="D285" i="1" s="1"/>
  <c r="J284" i="1" l="1"/>
  <c r="I285" i="1"/>
  <c r="K285" i="1" s="1"/>
  <c r="E285" i="1"/>
  <c r="G285" i="1" s="1"/>
  <c r="H285" i="1" s="1"/>
  <c r="D286" i="1" s="1"/>
  <c r="J285" i="1" l="1"/>
  <c r="E286" i="1"/>
  <c r="G286" i="1" s="1"/>
  <c r="I286" i="1"/>
  <c r="K286" i="1" s="1"/>
  <c r="H286" i="1" l="1"/>
  <c r="D287" i="1" s="1"/>
  <c r="J286" i="1"/>
  <c r="I287" i="1"/>
  <c r="K287" i="1" s="1"/>
  <c r="E287" i="1"/>
  <c r="G287" i="1" s="1"/>
  <c r="H287" i="1" s="1"/>
  <c r="D288" i="1" s="1"/>
  <c r="J287" i="1" l="1"/>
  <c r="I288" i="1"/>
  <c r="K288" i="1" s="1"/>
  <c r="E288" i="1"/>
  <c r="G288" i="1" s="1"/>
  <c r="H288" i="1" s="1"/>
  <c r="D289" i="1" s="1"/>
  <c r="J288" i="1" l="1"/>
  <c r="E289" i="1"/>
  <c r="G289" i="1" s="1"/>
  <c r="I289" i="1"/>
  <c r="K289" i="1" s="1"/>
  <c r="H289" i="1" l="1"/>
  <c r="D290" i="1" s="1"/>
  <c r="J289" i="1"/>
  <c r="I290" i="1"/>
  <c r="K290" i="1" s="1"/>
  <c r="E290" i="1"/>
  <c r="G290" i="1" s="1"/>
  <c r="H290" i="1" s="1"/>
  <c r="D291" i="1" s="1"/>
  <c r="J290" i="1" l="1"/>
  <c r="I291" i="1"/>
  <c r="K291" i="1" s="1"/>
  <c r="E291" i="1"/>
  <c r="G291" i="1" s="1"/>
  <c r="H291" i="1" s="1"/>
  <c r="D292" i="1" s="1"/>
  <c r="J291" i="1" l="1"/>
  <c r="I292" i="1"/>
  <c r="K292" i="1" s="1"/>
  <c r="E292" i="1"/>
  <c r="G292" i="1" s="1"/>
  <c r="H292" i="1" l="1"/>
  <c r="D293" i="1" s="1"/>
  <c r="J292" i="1"/>
  <c r="I293" i="1" l="1"/>
  <c r="K293" i="1" s="1"/>
  <c r="E293" i="1"/>
  <c r="G293" i="1" s="1"/>
  <c r="H293" i="1" s="1"/>
  <c r="D294" i="1" s="1"/>
  <c r="J293" i="1" l="1"/>
  <c r="E294" i="1"/>
  <c r="G294" i="1" s="1"/>
  <c r="J294" i="1" s="1"/>
  <c r="I294" i="1"/>
  <c r="K294" i="1" s="1"/>
  <c r="H294" i="1" l="1"/>
  <c r="D295" i="1" s="1"/>
  <c r="I295" i="1" l="1"/>
  <c r="K295" i="1" s="1"/>
  <c r="E295" i="1"/>
  <c r="G295" i="1" s="1"/>
  <c r="H295" i="1" s="1"/>
  <c r="D296" i="1" s="1"/>
  <c r="J295" i="1" l="1"/>
  <c r="I296" i="1"/>
  <c r="K296" i="1" s="1"/>
  <c r="E296" i="1"/>
  <c r="G296" i="1" s="1"/>
  <c r="H296" i="1" l="1"/>
  <c r="D297" i="1" s="1"/>
  <c r="J296" i="1"/>
  <c r="E297" i="1" l="1"/>
  <c r="G297" i="1" s="1"/>
  <c r="I297" i="1"/>
  <c r="K297" i="1" s="1"/>
  <c r="H297" i="1" l="1"/>
  <c r="D298" i="1" s="1"/>
  <c r="J297" i="1"/>
  <c r="I298" i="1"/>
  <c r="K298" i="1" s="1"/>
  <c r="E298" i="1"/>
  <c r="G298" i="1" s="1"/>
  <c r="H298" i="1" s="1"/>
  <c r="D299" i="1" s="1"/>
  <c r="J298" i="1" l="1"/>
  <c r="I299" i="1"/>
  <c r="K299" i="1" s="1"/>
  <c r="E299" i="1"/>
  <c r="G299" i="1" s="1"/>
  <c r="H299" i="1" s="1"/>
  <c r="D300" i="1" s="1"/>
  <c r="J299" i="1" l="1"/>
  <c r="I300" i="1"/>
  <c r="K300" i="1" s="1"/>
  <c r="E300" i="1"/>
  <c r="G300" i="1" s="1"/>
  <c r="H300" i="1" s="1"/>
  <c r="D301" i="1" s="1"/>
  <c r="J300" i="1" l="1"/>
  <c r="E301" i="1"/>
  <c r="G301" i="1" s="1"/>
  <c r="J301" i="1" s="1"/>
  <c r="I301" i="1"/>
  <c r="K301" i="1" s="1"/>
  <c r="H301" i="1" l="1"/>
  <c r="D302" i="1" s="1"/>
  <c r="E302" i="1"/>
  <c r="G302" i="1" s="1"/>
  <c r="J302" i="1" s="1"/>
  <c r="I302" i="1"/>
  <c r="K302" i="1" s="1"/>
  <c r="H302" i="1" l="1"/>
  <c r="D303" i="1" s="1"/>
  <c r="I303" i="1"/>
  <c r="K303" i="1" s="1"/>
  <c r="E303" i="1"/>
  <c r="G303" i="1" s="1"/>
  <c r="H303" i="1" l="1"/>
  <c r="D304" i="1" s="1"/>
  <c r="J303" i="1"/>
  <c r="I304" i="1"/>
  <c r="K304" i="1" s="1"/>
  <c r="E304" i="1"/>
  <c r="G304" i="1" s="1"/>
  <c r="H304" i="1" s="1"/>
  <c r="D305" i="1" s="1"/>
  <c r="J304" i="1" l="1"/>
  <c r="E305" i="1"/>
  <c r="G305" i="1" s="1"/>
  <c r="I305" i="1"/>
  <c r="K305" i="1" s="1"/>
  <c r="H305" i="1" l="1"/>
  <c r="D306" i="1" s="1"/>
  <c r="J305" i="1"/>
  <c r="I306" i="1"/>
  <c r="K306" i="1" s="1"/>
  <c r="E306" i="1"/>
  <c r="G306" i="1" s="1"/>
  <c r="H306" i="1" s="1"/>
  <c r="D307" i="1" s="1"/>
  <c r="J306" i="1" l="1"/>
  <c r="I307" i="1"/>
  <c r="K307" i="1" s="1"/>
  <c r="E307" i="1"/>
  <c r="G307" i="1" s="1"/>
  <c r="H307" i="1" s="1"/>
  <c r="D308" i="1" s="1"/>
  <c r="J307" i="1" l="1"/>
  <c r="E308" i="1"/>
  <c r="G308" i="1" s="1"/>
  <c r="I308" i="1"/>
  <c r="K308" i="1" s="1"/>
  <c r="H308" i="1" l="1"/>
  <c r="D309" i="1" s="1"/>
  <c r="J308" i="1"/>
  <c r="I309" i="1"/>
  <c r="K309" i="1" s="1"/>
  <c r="E309" i="1"/>
  <c r="G309" i="1" s="1"/>
  <c r="H309" i="1" s="1"/>
  <c r="D310" i="1" s="1"/>
  <c r="J309" i="1" l="1"/>
  <c r="I310" i="1"/>
  <c r="K310" i="1" s="1"/>
  <c r="E310" i="1"/>
  <c r="G310" i="1" s="1"/>
  <c r="J310" i="1" l="1"/>
  <c r="H310" i="1"/>
  <c r="D311" i="1" s="1"/>
  <c r="E311" i="1" l="1"/>
  <c r="G311" i="1" s="1"/>
  <c r="I311" i="1"/>
  <c r="K311" i="1" s="1"/>
  <c r="H311" i="1" l="1"/>
  <c r="D312" i="1" s="1"/>
  <c r="J311" i="1"/>
  <c r="I312" i="1"/>
  <c r="K312" i="1" s="1"/>
  <c r="E312" i="1"/>
  <c r="G312" i="1" s="1"/>
  <c r="H312" i="1" s="1"/>
  <c r="D313" i="1" s="1"/>
  <c r="I313" i="1" l="1"/>
  <c r="K313" i="1" s="1"/>
  <c r="E313" i="1"/>
  <c r="G313" i="1" s="1"/>
  <c r="H313" i="1" s="1"/>
  <c r="D314" i="1" s="1"/>
  <c r="J312" i="1"/>
  <c r="J313" i="1" l="1"/>
  <c r="I314" i="1"/>
  <c r="K314" i="1" s="1"/>
  <c r="E314" i="1"/>
  <c r="G314" i="1" s="1"/>
  <c r="H314" i="1" s="1"/>
  <c r="D315" i="1" s="1"/>
  <c r="J314" i="1" l="1"/>
  <c r="E315" i="1"/>
  <c r="G315" i="1" s="1"/>
  <c r="I315" i="1"/>
  <c r="K315" i="1" s="1"/>
  <c r="H315" i="1" l="1"/>
  <c r="D316" i="1" s="1"/>
  <c r="J315" i="1"/>
  <c r="I316" i="1"/>
  <c r="K316" i="1" s="1"/>
  <c r="E316" i="1"/>
  <c r="G316" i="1" s="1"/>
  <c r="H316" i="1" l="1"/>
  <c r="D317" i="1" s="1"/>
  <c r="J316" i="1"/>
  <c r="I317" i="1" l="1"/>
  <c r="K317" i="1" s="1"/>
  <c r="E317" i="1"/>
  <c r="G317" i="1" s="1"/>
  <c r="H317" i="1" s="1"/>
  <c r="D318" i="1" s="1"/>
  <c r="J317" i="1" l="1"/>
  <c r="I318" i="1"/>
  <c r="K318" i="1" s="1"/>
  <c r="E318" i="1"/>
  <c r="G318" i="1" s="1"/>
  <c r="H318" i="1" s="1"/>
  <c r="D319" i="1" s="1"/>
  <c r="J318" i="1" l="1"/>
  <c r="I319" i="1"/>
  <c r="K319" i="1" s="1"/>
  <c r="E319" i="1"/>
  <c r="G319" i="1" s="1"/>
  <c r="H319" i="1" s="1"/>
  <c r="D320" i="1" s="1"/>
  <c r="J319" i="1" l="1"/>
  <c r="E320" i="1"/>
  <c r="G320" i="1" s="1"/>
  <c r="I320" i="1"/>
  <c r="K320" i="1" s="1"/>
  <c r="H320" i="1" l="1"/>
  <c r="D321" i="1" s="1"/>
  <c r="J320" i="1"/>
  <c r="I321" i="1"/>
  <c r="K321" i="1" s="1"/>
  <c r="E321" i="1"/>
  <c r="G321" i="1" s="1"/>
  <c r="H321" i="1" s="1"/>
  <c r="D322" i="1" s="1"/>
  <c r="I322" i="1" s="1"/>
  <c r="K322" i="1" s="1"/>
  <c r="E322" i="1" l="1"/>
  <c r="G322" i="1" s="1"/>
  <c r="J322" i="1" s="1"/>
  <c r="J321" i="1"/>
  <c r="H322" i="1" l="1"/>
  <c r="D323" i="1" s="1"/>
  <c r="E323" i="1"/>
  <c r="G323" i="1" s="1"/>
  <c r="I323" i="1"/>
  <c r="K323" i="1" s="1"/>
  <c r="H323" i="1" l="1"/>
  <c r="D324" i="1" s="1"/>
  <c r="J323" i="1"/>
  <c r="E324" i="1"/>
  <c r="G324" i="1" s="1"/>
  <c r="I324" i="1"/>
  <c r="K324" i="1" s="1"/>
  <c r="H324" i="1" l="1"/>
  <c r="D325" i="1" s="1"/>
  <c r="E325" i="1"/>
  <c r="G325" i="1" s="1"/>
  <c r="I325" i="1"/>
  <c r="K325" i="1" s="1"/>
  <c r="J324" i="1"/>
  <c r="J325" i="1" l="1"/>
  <c r="H325" i="1"/>
  <c r="D326" i="1" s="1"/>
  <c r="I326" i="1" l="1"/>
  <c r="K326" i="1" s="1"/>
  <c r="E326" i="1"/>
  <c r="G326" i="1" s="1"/>
  <c r="J326" i="1" l="1"/>
  <c r="H326" i="1"/>
  <c r="D327" i="1" s="1"/>
  <c r="E327" i="1" l="1"/>
  <c r="G327" i="1" s="1"/>
  <c r="I327" i="1"/>
  <c r="K327" i="1" s="1"/>
  <c r="H327" i="1" l="1"/>
  <c r="D328" i="1" s="1"/>
  <c r="E328" i="1" s="1"/>
  <c r="G328" i="1" s="1"/>
  <c r="J327" i="1"/>
  <c r="I328" i="1" l="1"/>
  <c r="K328" i="1" s="1"/>
  <c r="J328" i="1"/>
  <c r="H328" i="1" l="1"/>
  <c r="D329" i="1" s="1"/>
  <c r="E329" i="1" l="1"/>
  <c r="G329" i="1" s="1"/>
  <c r="I329" i="1"/>
  <c r="K329" i="1" s="1"/>
  <c r="H329" i="1" l="1"/>
  <c r="D330" i="1" s="1"/>
  <c r="J329" i="1"/>
  <c r="E330" i="1" l="1"/>
  <c r="G330" i="1" s="1"/>
  <c r="J330" i="1" s="1"/>
  <c r="D331" i="1"/>
  <c r="I330" i="1"/>
  <c r="K330" i="1" s="1"/>
  <c r="I331" i="1" l="1"/>
  <c r="K331" i="1" s="1"/>
  <c r="E331" i="1"/>
  <c r="G331" i="1" s="1"/>
  <c r="H331" i="1" s="1"/>
  <c r="D332" i="1" s="1"/>
  <c r="H330" i="1"/>
  <c r="J331" i="1" l="1"/>
  <c r="E332" i="1"/>
  <c r="G332" i="1" s="1"/>
  <c r="I332" i="1"/>
  <c r="K332" i="1" s="1"/>
  <c r="H332" i="1" l="1"/>
  <c r="D333" i="1" s="1"/>
  <c r="J332" i="1"/>
  <c r="E333" i="1"/>
  <c r="G333" i="1" s="1"/>
  <c r="I333" i="1"/>
  <c r="K333" i="1" s="1"/>
  <c r="H333" i="1" l="1"/>
  <c r="D334" i="1" s="1"/>
  <c r="E334" i="1" s="1"/>
  <c r="G334" i="1" s="1"/>
  <c r="J333" i="1"/>
  <c r="I334" i="1"/>
  <c r="K334" i="1" s="1"/>
  <c r="H334" i="1" l="1"/>
  <c r="D335" i="1" s="1"/>
  <c r="J334" i="1"/>
  <c r="D336" i="1"/>
  <c r="I335" i="1"/>
  <c r="K335" i="1" s="1"/>
  <c r="E335" i="1"/>
  <c r="G335" i="1" s="1"/>
  <c r="J335" i="1" l="1"/>
  <c r="H335" i="1"/>
  <c r="I336" i="1"/>
  <c r="K336" i="1" s="1"/>
  <c r="E336" i="1"/>
  <c r="G336" i="1" s="1"/>
  <c r="J336" i="1" s="1"/>
  <c r="H336" i="1" l="1"/>
  <c r="D337" i="1" s="1"/>
  <c r="E337" i="1" l="1"/>
  <c r="G337" i="1" s="1"/>
  <c r="J337" i="1" s="1"/>
  <c r="I337" i="1"/>
  <c r="K337" i="1" s="1"/>
  <c r="H337" i="1" l="1"/>
  <c r="D338" i="1" s="1"/>
  <c r="I338" i="1"/>
  <c r="K338" i="1" s="1"/>
  <c r="E338" i="1"/>
  <c r="G338" i="1" s="1"/>
  <c r="H338" i="1" s="1"/>
  <c r="D339" i="1" s="1"/>
  <c r="J338" i="1" l="1"/>
  <c r="I339" i="1"/>
  <c r="K339" i="1" s="1"/>
  <c r="E339" i="1"/>
  <c r="G339" i="1" s="1"/>
  <c r="J339" i="1" l="1"/>
  <c r="H339" i="1"/>
  <c r="D340" i="1" s="1"/>
  <c r="I340" i="1" l="1"/>
  <c r="K340" i="1" s="1"/>
  <c r="E340" i="1"/>
  <c r="G340" i="1" s="1"/>
  <c r="H340" i="1" s="1"/>
  <c r="D341" i="1" s="1"/>
  <c r="J340" i="1" l="1"/>
  <c r="I341" i="1"/>
  <c r="K341" i="1" s="1"/>
  <c r="E341" i="1"/>
  <c r="G341" i="1" s="1"/>
  <c r="H341" i="1" s="1"/>
  <c r="D342" i="1" s="1"/>
  <c r="J341" i="1" l="1"/>
  <c r="I342" i="1"/>
  <c r="K342" i="1" s="1"/>
  <c r="E342" i="1"/>
  <c r="G342" i="1" s="1"/>
  <c r="H342" i="1" s="1"/>
  <c r="D343" i="1" s="1"/>
  <c r="J342" i="1" l="1"/>
  <c r="I343" i="1"/>
  <c r="K343" i="1" s="1"/>
  <c r="E343" i="1"/>
  <c r="G343" i="1" s="1"/>
  <c r="H343" i="1" s="1"/>
  <c r="D344" i="1" s="1"/>
  <c r="J343" i="1" l="1"/>
  <c r="E344" i="1"/>
  <c r="G344" i="1" s="1"/>
  <c r="J344" i="1" s="1"/>
  <c r="I344" i="1"/>
  <c r="K344" i="1" s="1"/>
  <c r="H344" i="1" l="1"/>
  <c r="D345" i="1" s="1"/>
  <c r="E345" i="1" l="1"/>
  <c r="G345" i="1" s="1"/>
  <c r="I345" i="1"/>
  <c r="K345" i="1" s="1"/>
  <c r="H345" i="1" l="1"/>
  <c r="D346" i="1" s="1"/>
  <c r="J345" i="1"/>
  <c r="E346" i="1" l="1"/>
  <c r="G346" i="1" s="1"/>
  <c r="I346" i="1"/>
  <c r="K346" i="1" s="1"/>
  <c r="J346" i="1" l="1"/>
  <c r="H346" i="1"/>
  <c r="D347" i="1" s="1"/>
  <c r="I347" i="1" l="1"/>
  <c r="K347" i="1" s="1"/>
  <c r="E347" i="1"/>
  <c r="G347" i="1" s="1"/>
  <c r="H347" i="1" l="1"/>
  <c r="D348" i="1" s="1"/>
  <c r="J347" i="1"/>
  <c r="I348" i="1" l="1"/>
  <c r="K348" i="1" s="1"/>
  <c r="E348" i="1"/>
  <c r="G348" i="1" s="1"/>
  <c r="J348" i="1" l="1"/>
  <c r="H348" i="1"/>
  <c r="D349" i="1" s="1"/>
  <c r="E349" i="1" l="1"/>
  <c r="G349" i="1" s="1"/>
  <c r="I349" i="1"/>
  <c r="K349" i="1" s="1"/>
  <c r="J349" i="1" l="1"/>
  <c r="H349" i="1"/>
  <c r="D350" i="1" s="1"/>
  <c r="E350" i="1" l="1"/>
  <c r="G350" i="1" s="1"/>
  <c r="I350" i="1"/>
  <c r="K350" i="1" s="1"/>
  <c r="H350" i="1" l="1"/>
  <c r="D351" i="1" s="1"/>
  <c r="J350" i="1"/>
  <c r="E351" i="1"/>
  <c r="G351" i="1" s="1"/>
  <c r="H351" i="1" s="1"/>
  <c r="D352" i="1" s="1"/>
  <c r="I351" i="1"/>
  <c r="K351" i="1" s="1"/>
  <c r="J351" i="1" l="1"/>
  <c r="E352" i="1"/>
  <c r="G352" i="1" s="1"/>
  <c r="I352" i="1"/>
  <c r="K352" i="1" s="1"/>
  <c r="J352" i="1" l="1"/>
  <c r="H352" i="1"/>
  <c r="D353" i="1" s="1"/>
  <c r="I353" i="1" l="1"/>
  <c r="K353" i="1" s="1"/>
  <c r="E353" i="1"/>
  <c r="G353" i="1" s="1"/>
  <c r="J353" i="1" l="1"/>
  <c r="H353" i="1"/>
  <c r="D354" i="1" s="1"/>
  <c r="I354" i="1" l="1"/>
  <c r="K354" i="1" s="1"/>
  <c r="E354" i="1"/>
  <c r="G354" i="1" s="1"/>
  <c r="J354" i="1" l="1"/>
  <c r="H354" i="1"/>
  <c r="D355" i="1" s="1"/>
  <c r="E355" i="1" l="1"/>
  <c r="G355" i="1" s="1"/>
  <c r="I355" i="1"/>
  <c r="K355" i="1" s="1"/>
  <c r="H355" i="1" l="1"/>
  <c r="D356" i="1" s="1"/>
  <c r="J355" i="1"/>
  <c r="D357" i="1"/>
  <c r="I356" i="1"/>
  <c r="K356" i="1" s="1"/>
  <c r="E356" i="1"/>
  <c r="G356" i="1" s="1"/>
  <c r="H356" i="1" l="1"/>
  <c r="I357" i="1"/>
  <c r="K357" i="1" s="1"/>
  <c r="E357" i="1"/>
  <c r="G357" i="1" s="1"/>
  <c r="H357" i="1" s="1"/>
  <c r="D358" i="1" s="1"/>
  <c r="J356" i="1"/>
  <c r="J357" i="1" l="1"/>
  <c r="E358" i="1"/>
  <c r="G358" i="1" s="1"/>
  <c r="I358" i="1"/>
  <c r="K358" i="1" s="1"/>
  <c r="J358" i="1" l="1"/>
  <c r="H358" i="1"/>
  <c r="D359" i="1" s="1"/>
  <c r="I359" i="1" l="1"/>
  <c r="K359" i="1" s="1"/>
  <c r="E359" i="1"/>
  <c r="G359" i="1" s="1"/>
  <c r="J359" i="1" l="1"/>
  <c r="H359" i="1"/>
  <c r="D360" i="1" s="1"/>
  <c r="I360" i="1" l="1"/>
  <c r="K360" i="1" s="1"/>
  <c r="E360" i="1"/>
  <c r="G360" i="1" s="1"/>
  <c r="H360" i="1" s="1"/>
  <c r="D361" i="1" s="1"/>
  <c r="J360" i="1" l="1"/>
  <c r="E361" i="1"/>
  <c r="G361" i="1" s="1"/>
  <c r="I361" i="1"/>
  <c r="K361" i="1" s="1"/>
  <c r="H361" i="1" l="1"/>
  <c r="D362" i="1" s="1"/>
  <c r="J361" i="1"/>
  <c r="E362" i="1" l="1"/>
  <c r="G362" i="1" s="1"/>
  <c r="I362" i="1"/>
  <c r="K362" i="1" s="1"/>
  <c r="J362" i="1" l="1"/>
  <c r="H362" i="1"/>
  <c r="D363" i="1" s="1"/>
  <c r="E363" i="1" l="1"/>
  <c r="G363" i="1" s="1"/>
  <c r="I363" i="1"/>
  <c r="K363" i="1" s="1"/>
  <c r="J363" i="1" l="1"/>
  <c r="H363" i="1"/>
  <c r="D364" i="1" s="1"/>
  <c r="I364" i="1" l="1"/>
  <c r="K364" i="1" s="1"/>
  <c r="D365" i="1"/>
  <c r="E364" i="1"/>
  <c r="G364" i="1" s="1"/>
  <c r="J364" i="1" l="1"/>
  <c r="H364" i="1"/>
  <c r="E365" i="1"/>
  <c r="G365" i="1" s="1"/>
  <c r="I365" i="1"/>
  <c r="K365" i="1" s="1"/>
  <c r="J365" i="1" l="1"/>
  <c r="H365" i="1"/>
  <c r="D366" i="1" s="1"/>
  <c r="I366" i="1" l="1"/>
  <c r="K366" i="1" s="1"/>
  <c r="E366" i="1"/>
  <c r="G366" i="1" s="1"/>
  <c r="H366" i="1" s="1"/>
  <c r="D367" i="1" s="1"/>
  <c r="J366" i="1" l="1"/>
  <c r="E367" i="1"/>
  <c r="G367" i="1" s="1"/>
  <c r="I367" i="1"/>
  <c r="K367" i="1" s="1"/>
  <c r="H367" i="1" l="1"/>
  <c r="D368" i="1" s="1"/>
  <c r="J367" i="1"/>
  <c r="E368" i="1"/>
  <c r="G368" i="1" s="1"/>
  <c r="I368" i="1"/>
  <c r="K368" i="1" s="1"/>
  <c r="J368" i="1" l="1"/>
  <c r="H368" i="1"/>
  <c r="D369" i="1" s="1"/>
  <c r="I369" i="1" l="1"/>
  <c r="K369" i="1" s="1"/>
  <c r="E369" i="1"/>
  <c r="G369" i="1" s="1"/>
  <c r="H369" i="1" l="1"/>
  <c r="D370" i="1" s="1"/>
  <c r="J369" i="1"/>
  <c r="E370" i="1" l="1"/>
  <c r="G370" i="1" s="1"/>
  <c r="I370" i="1"/>
  <c r="K370" i="1" s="1"/>
  <c r="H370" i="1" l="1"/>
  <c r="D371" i="1" s="1"/>
  <c r="J370" i="1"/>
  <c r="I371" i="1"/>
  <c r="K371" i="1" s="1"/>
  <c r="E371" i="1"/>
  <c r="G371" i="1" s="1"/>
  <c r="D372" i="1"/>
  <c r="H371" i="1" l="1"/>
  <c r="I372" i="1"/>
  <c r="K372" i="1" s="1"/>
  <c r="E372" i="1"/>
  <c r="G372" i="1" s="1"/>
  <c r="H372" i="1" s="1"/>
  <c r="D373" i="1" s="1"/>
  <c r="J371" i="1"/>
  <c r="D374" i="1" l="1"/>
  <c r="E373" i="1"/>
  <c r="G373" i="1" s="1"/>
  <c r="I373" i="1"/>
  <c r="K373" i="1" s="1"/>
  <c r="J372" i="1"/>
  <c r="H373" i="1" l="1"/>
  <c r="J373" i="1"/>
  <c r="E374" i="1"/>
  <c r="G374" i="1" s="1"/>
  <c r="I374" i="1"/>
  <c r="K374" i="1" s="1"/>
  <c r="H374" i="1" l="1"/>
  <c r="D375" i="1" s="1"/>
  <c r="D376" i="1" s="1"/>
  <c r="J374" i="1"/>
  <c r="I375" i="1"/>
  <c r="K375" i="1" s="1"/>
  <c r="E375" i="1"/>
  <c r="G375" i="1" s="1"/>
  <c r="H375" i="1" l="1"/>
  <c r="J375" i="1"/>
  <c r="I376" i="1"/>
  <c r="K376" i="1" s="1"/>
  <c r="E376" i="1"/>
  <c r="G376" i="1" s="1"/>
  <c r="H376" i="1" l="1"/>
  <c r="D377" i="1" s="1"/>
  <c r="E377" i="1"/>
  <c r="G377" i="1" s="1"/>
  <c r="I377" i="1"/>
  <c r="K377" i="1" s="1"/>
  <c r="J376" i="1"/>
  <c r="H377" i="1" l="1"/>
  <c r="D378" i="1" s="1"/>
  <c r="J377" i="1"/>
  <c r="E378" i="1"/>
  <c r="G378" i="1" s="1"/>
  <c r="H378" i="1" s="1"/>
  <c r="D379" i="1" s="1"/>
  <c r="I378" i="1"/>
  <c r="K378" i="1" s="1"/>
  <c r="J378" i="1" l="1"/>
  <c r="I379" i="1"/>
  <c r="K379" i="1" s="1"/>
  <c r="E379" i="1"/>
  <c r="G379" i="1" s="1"/>
  <c r="J379" i="1" s="1"/>
  <c r="H379" i="1" l="1"/>
  <c r="D380" i="1" s="1"/>
  <c r="I380" i="1" l="1"/>
  <c r="K380" i="1" s="1"/>
  <c r="E380" i="1"/>
  <c r="G380" i="1" s="1"/>
  <c r="H380" i="1" s="1"/>
  <c r="D381" i="1" s="1"/>
  <c r="J380" i="1" l="1"/>
  <c r="D382" i="1"/>
  <c r="I381" i="1"/>
  <c r="K381" i="1" s="1"/>
  <c r="E381" i="1"/>
  <c r="G381" i="1" s="1"/>
  <c r="H381" i="1" s="1"/>
  <c r="E382" i="1" l="1"/>
  <c r="G382" i="1" s="1"/>
  <c r="I382" i="1"/>
  <c r="K382" i="1" s="1"/>
  <c r="J381" i="1"/>
  <c r="H382" i="1" l="1"/>
  <c r="D383" i="1" s="1"/>
  <c r="E383" i="1" s="1"/>
  <c r="G383" i="1" s="1"/>
  <c r="J382" i="1"/>
  <c r="I383" i="1" l="1"/>
  <c r="K383" i="1" s="1"/>
  <c r="J383" i="1"/>
  <c r="H383" i="1" l="1"/>
  <c r="D384" i="1" s="1"/>
  <c r="E384" i="1" l="1"/>
  <c r="G384" i="1" s="1"/>
  <c r="I384" i="1"/>
  <c r="K384" i="1" s="1"/>
  <c r="D385" i="1"/>
  <c r="I385" i="1" l="1"/>
  <c r="K385" i="1" s="1"/>
  <c r="E385" i="1"/>
  <c r="G385" i="1" s="1"/>
  <c r="J384" i="1"/>
  <c r="H384" i="1"/>
  <c r="J385" i="1" l="1"/>
  <c r="H385" i="1"/>
  <c r="D386" i="1" s="1"/>
  <c r="I386" i="1" l="1"/>
  <c r="K386" i="1" s="1"/>
  <c r="E386" i="1"/>
  <c r="G386" i="1" s="1"/>
  <c r="H386" i="1" l="1"/>
  <c r="D387" i="1" s="1"/>
  <c r="J386" i="1"/>
  <c r="I387" i="1" l="1"/>
  <c r="K387" i="1" s="1"/>
  <c r="E387" i="1"/>
  <c r="G387" i="1" s="1"/>
  <c r="J387" i="1" l="1"/>
  <c r="H387" i="1"/>
  <c r="D388" i="1" s="1"/>
  <c r="E388" i="1" l="1"/>
  <c r="G388" i="1" s="1"/>
  <c r="I388" i="1"/>
  <c r="K388" i="1" s="1"/>
  <c r="H388" i="1" l="1"/>
  <c r="D389" i="1" s="1"/>
  <c r="J388" i="1"/>
  <c r="I389" i="1"/>
  <c r="K389" i="1" s="1"/>
  <c r="E389" i="1"/>
  <c r="G389" i="1" s="1"/>
  <c r="H389" i="1" s="1"/>
  <c r="D390" i="1" s="1"/>
  <c r="I390" i="1" l="1"/>
  <c r="K390" i="1" s="1"/>
  <c r="E390" i="1"/>
  <c r="G390" i="1" s="1"/>
  <c r="J389" i="1"/>
  <c r="J390" i="1" l="1"/>
  <c r="H390" i="1"/>
  <c r="D391" i="1" s="1"/>
  <c r="I391" i="1" l="1"/>
  <c r="K391" i="1" s="1"/>
  <c r="E391" i="1"/>
  <c r="G391" i="1" s="1"/>
  <c r="H391" i="1" s="1"/>
  <c r="D392" i="1"/>
  <c r="I392" i="1" l="1"/>
  <c r="K392" i="1" s="1"/>
  <c r="E392" i="1"/>
  <c r="G392" i="1" s="1"/>
  <c r="H392" i="1" s="1"/>
  <c r="D393" i="1" s="1"/>
  <c r="J391" i="1"/>
  <c r="J392" i="1" l="1"/>
  <c r="D394" i="1"/>
  <c r="E393" i="1"/>
  <c r="G393" i="1" s="1"/>
  <c r="I393" i="1"/>
  <c r="K393" i="1" s="1"/>
  <c r="H393" i="1" l="1"/>
  <c r="E394" i="1"/>
  <c r="G394" i="1" s="1"/>
  <c r="I394" i="1"/>
  <c r="K394" i="1" s="1"/>
  <c r="J393" i="1"/>
  <c r="H394" i="1" l="1"/>
  <c r="D395" i="1" s="1"/>
  <c r="J394" i="1"/>
  <c r="I395" i="1" l="1"/>
  <c r="K395" i="1" s="1"/>
  <c r="E395" i="1"/>
  <c r="G395" i="1" s="1"/>
  <c r="H395" i="1" l="1"/>
  <c r="D396" i="1" s="1"/>
  <c r="J395" i="1"/>
  <c r="E396" i="1" l="1"/>
  <c r="G396" i="1" s="1"/>
  <c r="I396" i="1"/>
  <c r="K396" i="1" s="1"/>
  <c r="H396" i="1" l="1"/>
  <c r="D397" i="1" s="1"/>
  <c r="J396" i="1"/>
  <c r="I397" i="1"/>
  <c r="K397" i="1" s="1"/>
  <c r="E397" i="1"/>
  <c r="G397" i="1" s="1"/>
  <c r="H397" i="1" l="1"/>
  <c r="D398" i="1" s="1"/>
  <c r="J397" i="1"/>
  <c r="E398" i="1" l="1"/>
  <c r="G398" i="1" s="1"/>
  <c r="I398" i="1"/>
  <c r="K398" i="1" s="1"/>
  <c r="H398" i="1" l="1"/>
  <c r="D399" i="1" s="1"/>
  <c r="J398" i="1"/>
  <c r="I399" i="1" l="1"/>
  <c r="K399" i="1" s="1"/>
  <c r="E399" i="1"/>
  <c r="G399" i="1" s="1"/>
  <c r="H399" i="1" s="1"/>
  <c r="D400" i="1" s="1"/>
  <c r="J399" i="1" l="1"/>
  <c r="E400" i="1"/>
  <c r="G400" i="1" s="1"/>
  <c r="I400" i="1"/>
  <c r="K400" i="1" s="1"/>
  <c r="H400" i="1" l="1"/>
  <c r="D401" i="1" s="1"/>
  <c r="J400" i="1"/>
  <c r="I401" i="1"/>
  <c r="K401" i="1" s="1"/>
  <c r="E401" i="1"/>
  <c r="G401" i="1" s="1"/>
  <c r="H401" i="1" l="1"/>
  <c r="D402" i="1" s="1"/>
  <c r="J401" i="1"/>
  <c r="E402" i="1" l="1"/>
  <c r="G402" i="1" s="1"/>
  <c r="I402" i="1"/>
  <c r="K402" i="1" s="1"/>
  <c r="J402" i="1" l="1"/>
  <c r="H402" i="1"/>
  <c r="D403" i="1" s="1"/>
  <c r="D404" i="1" l="1"/>
  <c r="E403" i="1"/>
  <c r="G403" i="1" s="1"/>
  <c r="I403" i="1"/>
  <c r="K403" i="1" s="1"/>
  <c r="J403" i="1" l="1"/>
  <c r="H403" i="1"/>
  <c r="I404" i="1"/>
  <c r="K404" i="1" s="1"/>
  <c r="E404" i="1"/>
  <c r="G404" i="1" s="1"/>
  <c r="J404" i="1" l="1"/>
  <c r="H404" i="1"/>
  <c r="D405" i="1" s="1"/>
  <c r="I405" i="1" l="1"/>
  <c r="K405" i="1" s="1"/>
  <c r="E405" i="1"/>
  <c r="G405" i="1" s="1"/>
  <c r="H405" i="1" s="1"/>
  <c r="D406" i="1" s="1"/>
  <c r="J405" i="1" l="1"/>
  <c r="E406" i="1"/>
  <c r="G406" i="1" s="1"/>
  <c r="D407" i="1"/>
  <c r="I406" i="1"/>
  <c r="K406" i="1" s="1"/>
  <c r="E407" i="1" l="1"/>
  <c r="G407" i="1" s="1"/>
  <c r="I407" i="1"/>
  <c r="K407" i="1" s="1"/>
  <c r="H406" i="1"/>
  <c r="J406" i="1"/>
  <c r="H407" i="1" l="1"/>
  <c r="D408" i="1" s="1"/>
  <c r="J407" i="1"/>
  <c r="I408" i="1"/>
  <c r="K408" i="1" s="1"/>
  <c r="E408" i="1"/>
  <c r="G408" i="1" s="1"/>
  <c r="H408" i="1" s="1"/>
  <c r="D409" i="1" s="1"/>
  <c r="J408" i="1" l="1"/>
  <c r="E409" i="1"/>
  <c r="G409" i="1" s="1"/>
  <c r="D410" i="1"/>
  <c r="I409" i="1"/>
  <c r="K409" i="1" s="1"/>
  <c r="H409" i="1" l="1"/>
  <c r="J409" i="1"/>
  <c r="I410" i="1"/>
  <c r="K410" i="1" s="1"/>
  <c r="E410" i="1"/>
  <c r="G410" i="1" s="1"/>
  <c r="H410" i="1" s="1"/>
  <c r="D411" i="1" s="1"/>
  <c r="J410" i="1" l="1"/>
  <c r="E411" i="1"/>
  <c r="G411" i="1" s="1"/>
  <c r="I411" i="1"/>
  <c r="K411" i="1" s="1"/>
  <c r="H411" i="1" l="1"/>
  <c r="D412" i="1" s="1"/>
  <c r="J411" i="1"/>
  <c r="D413" i="1"/>
  <c r="I412" i="1"/>
  <c r="K412" i="1" s="1"/>
  <c r="E412" i="1"/>
  <c r="G412" i="1" s="1"/>
  <c r="H412" i="1" s="1"/>
  <c r="J412" i="1" l="1"/>
  <c r="I413" i="1"/>
  <c r="K413" i="1" s="1"/>
  <c r="E413" i="1"/>
  <c r="G413" i="1" s="1"/>
  <c r="H413" i="1" s="1"/>
  <c r="D414" i="1" s="1"/>
  <c r="J413" i="1" l="1"/>
  <c r="I414" i="1"/>
  <c r="K414" i="1" s="1"/>
  <c r="E414" i="1"/>
  <c r="G414" i="1" s="1"/>
  <c r="J414" i="1" s="1"/>
  <c r="H414" i="1" l="1"/>
  <c r="D415" i="1" s="1"/>
  <c r="D416" i="1" l="1"/>
  <c r="I415" i="1"/>
  <c r="K415" i="1" s="1"/>
  <c r="E415" i="1"/>
  <c r="G415" i="1" s="1"/>
  <c r="H415" i="1" s="1"/>
  <c r="J415" i="1" l="1"/>
  <c r="I416" i="1"/>
  <c r="K416" i="1" s="1"/>
  <c r="E416" i="1"/>
  <c r="G416" i="1" s="1"/>
  <c r="H416" i="1" s="1"/>
  <c r="D417" i="1" s="1"/>
  <c r="J416" i="1" l="1"/>
  <c r="E417" i="1"/>
  <c r="G417" i="1" s="1"/>
  <c r="H417" i="1" s="1"/>
  <c r="D418" i="1" s="1"/>
  <c r="I417" i="1"/>
  <c r="K417" i="1" s="1"/>
  <c r="J417" i="1" l="1"/>
  <c r="I418" i="1"/>
  <c r="K418" i="1" s="1"/>
  <c r="E418" i="1"/>
  <c r="G418" i="1" s="1"/>
  <c r="H418" i="1" s="1"/>
  <c r="D419" i="1" s="1"/>
  <c r="J418" i="1" l="1"/>
  <c r="I419" i="1"/>
  <c r="K419" i="1" s="1"/>
  <c r="E419" i="1"/>
  <c r="G419" i="1" s="1"/>
  <c r="H419" i="1" s="1"/>
  <c r="D420" i="1" s="1"/>
  <c r="J419" i="1" l="1"/>
  <c r="I420" i="1"/>
  <c r="K420" i="1" s="1"/>
  <c r="E420" i="1"/>
  <c r="G420" i="1" s="1"/>
  <c r="J420" i="1" l="1"/>
  <c r="H420" i="1"/>
  <c r="D421" i="1" s="1"/>
  <c r="E421" i="1" l="1"/>
  <c r="G421" i="1" s="1"/>
  <c r="I421" i="1"/>
  <c r="K421" i="1" s="1"/>
  <c r="D422" i="1"/>
  <c r="I422" i="1" l="1"/>
  <c r="K422" i="1" s="1"/>
  <c r="E422" i="1"/>
  <c r="G422" i="1" s="1"/>
  <c r="H422" i="1" s="1"/>
  <c r="D423" i="1" s="1"/>
  <c r="J421" i="1"/>
  <c r="H421" i="1"/>
  <c r="D424" i="1" l="1"/>
  <c r="I423" i="1"/>
  <c r="K423" i="1" s="1"/>
  <c r="E423" i="1"/>
  <c r="G423" i="1" s="1"/>
  <c r="J422" i="1"/>
  <c r="H423" i="1" l="1"/>
  <c r="J423" i="1"/>
  <c r="I424" i="1"/>
  <c r="K424" i="1" s="1"/>
  <c r="E424" i="1"/>
  <c r="G424" i="1" s="1"/>
  <c r="H424" i="1" l="1"/>
  <c r="D425" i="1" s="1"/>
  <c r="J424" i="1"/>
  <c r="E425" i="1" l="1"/>
  <c r="G425" i="1" s="1"/>
  <c r="I425" i="1"/>
  <c r="K425" i="1" s="1"/>
  <c r="H425" i="1" l="1"/>
  <c r="D426" i="1" s="1"/>
  <c r="J425" i="1"/>
  <c r="E426" i="1"/>
  <c r="G426" i="1" s="1"/>
  <c r="I426" i="1"/>
  <c r="K426" i="1" s="1"/>
  <c r="J426" i="1" l="1"/>
  <c r="H426" i="1"/>
  <c r="D427" i="1" s="1"/>
  <c r="I427" i="1" l="1"/>
  <c r="K427" i="1" s="1"/>
  <c r="E427" i="1"/>
  <c r="G427" i="1" s="1"/>
  <c r="H427" i="1" s="1"/>
  <c r="D428" i="1" s="1"/>
  <c r="J427" i="1" l="1"/>
  <c r="I428" i="1"/>
  <c r="K428" i="1" s="1"/>
  <c r="E428" i="1"/>
  <c r="G428" i="1" s="1"/>
  <c r="J428" i="1" l="1"/>
  <c r="H428" i="1"/>
  <c r="D429" i="1" s="1"/>
  <c r="D430" i="1" l="1"/>
  <c r="I429" i="1"/>
  <c r="K429" i="1" s="1"/>
  <c r="E429" i="1"/>
  <c r="G429" i="1" s="1"/>
  <c r="H429" i="1" s="1"/>
  <c r="J429" i="1" l="1"/>
  <c r="E430" i="1"/>
  <c r="G430" i="1" s="1"/>
  <c r="J430" i="1" s="1"/>
  <c r="I430" i="1"/>
  <c r="K430" i="1" s="1"/>
  <c r="H430" i="1" l="1"/>
  <c r="D431" i="1" s="1"/>
  <c r="E431" i="1"/>
  <c r="G431" i="1" s="1"/>
  <c r="J431" i="1" s="1"/>
  <c r="I431" i="1"/>
  <c r="K431" i="1" s="1"/>
  <c r="H431" i="1" l="1"/>
  <c r="D432" i="1" s="1"/>
  <c r="E432" i="1" l="1"/>
  <c r="G432" i="1" s="1"/>
  <c r="I432" i="1"/>
  <c r="K432" i="1" s="1"/>
  <c r="H432" i="1" l="1"/>
  <c r="D433" i="1" s="1"/>
  <c r="J432" i="1"/>
  <c r="I433" i="1"/>
  <c r="K433" i="1" s="1"/>
  <c r="E433" i="1"/>
  <c r="G433" i="1" s="1"/>
  <c r="J433" i="1" l="1"/>
  <c r="H433" i="1"/>
  <c r="D434" i="1" s="1"/>
  <c r="D435" i="1" l="1"/>
  <c r="E434" i="1"/>
  <c r="G434" i="1" s="1"/>
  <c r="I434" i="1"/>
  <c r="K434" i="1" s="1"/>
  <c r="J434" i="1" l="1"/>
  <c r="H434" i="1"/>
  <c r="I435" i="1"/>
  <c r="K435" i="1" s="1"/>
  <c r="E435" i="1"/>
  <c r="G435" i="1" s="1"/>
  <c r="H435" i="1" l="1"/>
  <c r="D436" i="1" s="1"/>
  <c r="J435" i="1"/>
  <c r="I436" i="1" l="1"/>
  <c r="K436" i="1" s="1"/>
  <c r="E436" i="1"/>
  <c r="G436" i="1" s="1"/>
  <c r="H436" i="1" l="1"/>
  <c r="D437" i="1" s="1"/>
  <c r="J436" i="1"/>
  <c r="E437" i="1" l="1"/>
  <c r="G437" i="1" s="1"/>
  <c r="I437" i="1"/>
  <c r="K437" i="1" s="1"/>
  <c r="H437" i="1" l="1"/>
  <c r="D438" i="1" s="1"/>
  <c r="J437" i="1"/>
  <c r="E438" i="1"/>
  <c r="G438" i="1" s="1"/>
  <c r="I438" i="1"/>
  <c r="K438" i="1" s="1"/>
  <c r="H438" i="1" l="1"/>
  <c r="D439" i="1" s="1"/>
  <c r="E439" i="1" s="1"/>
  <c r="G439" i="1" s="1"/>
  <c r="J438" i="1"/>
  <c r="J439" i="1" l="1"/>
  <c r="I439" i="1"/>
  <c r="K439" i="1" s="1"/>
  <c r="H439" i="1" l="1"/>
  <c r="D440" i="1" s="1"/>
  <c r="I440" i="1" l="1"/>
  <c r="K440" i="1" s="1"/>
  <c r="E440" i="1"/>
  <c r="G440" i="1" s="1"/>
  <c r="H440" i="1" l="1"/>
  <c r="D441" i="1" s="1"/>
  <c r="J440" i="1"/>
  <c r="I441" i="1" l="1"/>
  <c r="K441" i="1" s="1"/>
  <c r="E441" i="1"/>
  <c r="G441" i="1" s="1"/>
  <c r="J441" i="1" l="1"/>
  <c r="H441" i="1"/>
  <c r="D442" i="1" s="1"/>
  <c r="E442" i="1" l="1"/>
  <c r="G442" i="1" s="1"/>
  <c r="I442" i="1"/>
  <c r="K442" i="1" s="1"/>
  <c r="J442" i="1"/>
  <c r="H442" i="1" l="1"/>
  <c r="D443" i="1" s="1"/>
  <c r="I443" i="1"/>
  <c r="K443" i="1" s="1"/>
  <c r="E443" i="1"/>
  <c r="G443" i="1" s="1"/>
  <c r="H443" i="1" s="1"/>
  <c r="D444" i="1" s="1"/>
  <c r="J443" i="1" l="1"/>
  <c r="I444" i="1"/>
  <c r="K444" i="1" s="1"/>
  <c r="E444" i="1"/>
  <c r="G444" i="1" s="1"/>
  <c r="H444" i="1" s="1"/>
  <c r="D445" i="1" s="1"/>
  <c r="I445" i="1" l="1"/>
  <c r="K445" i="1" s="1"/>
  <c r="E445" i="1"/>
  <c r="G445" i="1" s="1"/>
  <c r="H445" i="1" s="1"/>
  <c r="D446" i="1" s="1"/>
  <c r="J444" i="1"/>
  <c r="J445" i="1" l="1"/>
  <c r="E446" i="1"/>
  <c r="G446" i="1" s="1"/>
  <c r="I446" i="1"/>
  <c r="K446" i="1" s="1"/>
  <c r="J446" i="1"/>
  <c r="H446" i="1" l="1"/>
  <c r="D447" i="1" s="1"/>
  <c r="E447" i="1"/>
  <c r="G447" i="1" s="1"/>
  <c r="I447" i="1"/>
  <c r="K447" i="1" s="1"/>
  <c r="J447" i="1" l="1"/>
  <c r="H447" i="1"/>
  <c r="D448" i="1" s="1"/>
  <c r="E448" i="1" l="1"/>
  <c r="G448" i="1" s="1"/>
  <c r="I448" i="1"/>
  <c r="K448" i="1" s="1"/>
  <c r="J448" i="1"/>
  <c r="H448" i="1" l="1"/>
  <c r="D449" i="1" s="1"/>
  <c r="E449" i="1"/>
  <c r="G449" i="1" s="1"/>
  <c r="I449" i="1"/>
  <c r="K449" i="1" s="1"/>
  <c r="J449" i="1"/>
  <c r="H449" i="1" l="1"/>
  <c r="D450" i="1" s="1"/>
  <c r="I450" i="1" l="1"/>
  <c r="K450" i="1" s="1"/>
  <c r="E450" i="1"/>
  <c r="G450" i="1" s="1"/>
  <c r="H450" i="1" s="1"/>
  <c r="D451" i="1" s="1"/>
  <c r="J450" i="1" l="1"/>
  <c r="I451" i="1"/>
  <c r="K451" i="1" s="1"/>
  <c r="E451" i="1"/>
  <c r="G451" i="1" s="1"/>
  <c r="H451" i="1" s="1"/>
  <c r="D452" i="1" s="1"/>
  <c r="I452" i="1" l="1"/>
  <c r="K452" i="1" s="1"/>
  <c r="E452" i="1"/>
  <c r="G452" i="1" s="1"/>
  <c r="H452" i="1" s="1"/>
  <c r="D453" i="1" s="1"/>
  <c r="J451" i="1"/>
  <c r="J452" i="1" l="1"/>
  <c r="I453" i="1"/>
  <c r="K453" i="1" s="1"/>
  <c r="E453" i="1"/>
  <c r="G453" i="1" s="1"/>
  <c r="H453" i="1" s="1"/>
  <c r="D454" i="1" s="1"/>
  <c r="I454" i="1" l="1"/>
  <c r="K454" i="1" s="1"/>
  <c r="E454" i="1"/>
  <c r="G454" i="1" s="1"/>
  <c r="H454" i="1" s="1"/>
  <c r="D455" i="1" s="1"/>
  <c r="J453" i="1"/>
  <c r="J454" i="1" l="1"/>
  <c r="I455" i="1"/>
  <c r="K455" i="1" s="1"/>
  <c r="E455" i="1"/>
  <c r="G455" i="1" s="1"/>
  <c r="H455" i="1" s="1"/>
  <c r="D456" i="1" s="1"/>
  <c r="I456" i="1" l="1"/>
  <c r="K456" i="1" s="1"/>
  <c r="E456" i="1"/>
  <c r="G456" i="1" s="1"/>
  <c r="H456" i="1" s="1"/>
  <c r="D457" i="1" s="1"/>
  <c r="J455" i="1"/>
  <c r="J456" i="1" l="1"/>
  <c r="I457" i="1"/>
  <c r="K457" i="1" s="1"/>
  <c r="E457" i="1"/>
  <c r="G457" i="1" s="1"/>
  <c r="H457" i="1" s="1"/>
  <c r="D458" i="1" s="1"/>
  <c r="J457" i="1" l="1"/>
  <c r="E458" i="1"/>
  <c r="G458" i="1" s="1"/>
  <c r="I458" i="1"/>
  <c r="K458" i="1" s="1"/>
  <c r="J458" i="1" l="1"/>
  <c r="H458" i="1"/>
  <c r="D459" i="1" s="1"/>
  <c r="E459" i="1" l="1"/>
  <c r="G459" i="1" s="1"/>
  <c r="I459" i="1"/>
  <c r="K459" i="1" s="1"/>
  <c r="J459" i="1"/>
  <c r="H459" i="1" l="1"/>
  <c r="D460" i="1" s="1"/>
  <c r="E460" i="1"/>
  <c r="G460" i="1" s="1"/>
  <c r="J460" i="1" s="1"/>
  <c r="I460" i="1"/>
  <c r="K460" i="1" s="1"/>
  <c r="H460" i="1" l="1"/>
  <c r="D461" i="1" s="1"/>
  <c r="E461" i="1" l="1"/>
  <c r="G461" i="1" s="1"/>
  <c r="I461" i="1"/>
  <c r="K461" i="1" s="1"/>
  <c r="J461" i="1"/>
  <c r="H461" i="1" l="1"/>
  <c r="D462" i="1" s="1"/>
  <c r="I462" i="1"/>
  <c r="K462" i="1" s="1"/>
  <c r="E462" i="1"/>
  <c r="G462" i="1" s="1"/>
  <c r="H462" i="1" s="1"/>
  <c r="D463" i="1" s="1"/>
  <c r="J462" i="1" l="1"/>
  <c r="E463" i="1"/>
  <c r="G463" i="1" s="1"/>
  <c r="I463" i="1"/>
  <c r="K463" i="1" s="1"/>
  <c r="H463" i="1" l="1"/>
  <c r="D464" i="1" s="1"/>
  <c r="I464" i="1"/>
  <c r="K464" i="1" s="1"/>
  <c r="E464" i="1"/>
  <c r="G464" i="1" s="1"/>
  <c r="H464" i="1" s="1"/>
  <c r="D465" i="1" s="1"/>
  <c r="J463" i="1"/>
  <c r="J464" i="1" l="1"/>
  <c r="I465" i="1"/>
  <c r="K465" i="1" s="1"/>
  <c r="E465" i="1"/>
  <c r="G465" i="1" s="1"/>
  <c r="H465" i="1" s="1"/>
  <c r="D466" i="1" s="1"/>
  <c r="E466" i="1" l="1"/>
  <c r="G466" i="1" s="1"/>
  <c r="I466" i="1"/>
  <c r="K466" i="1" s="1"/>
  <c r="J466" i="1"/>
  <c r="J465" i="1"/>
  <c r="H466" i="1" l="1"/>
  <c r="D467" i="1" s="1"/>
  <c r="E467" i="1"/>
  <c r="G467" i="1" s="1"/>
  <c r="I467" i="1"/>
  <c r="K467" i="1" s="1"/>
  <c r="D468" i="1"/>
  <c r="J467" i="1"/>
  <c r="H467" i="1" l="1"/>
  <c r="I468" i="1"/>
  <c r="K468" i="1" s="1"/>
  <c r="E468" i="1"/>
  <c r="G468" i="1" s="1"/>
  <c r="H468" i="1" s="1"/>
  <c r="D469" i="1" s="1"/>
  <c r="J468" i="1" l="1"/>
  <c r="E469" i="1"/>
  <c r="G469" i="1" s="1"/>
  <c r="I469" i="1"/>
  <c r="K469" i="1" s="1"/>
  <c r="J469" i="1"/>
  <c r="H469" i="1" l="1"/>
  <c r="D470" i="1" s="1"/>
  <c r="E470" i="1"/>
  <c r="G470" i="1" s="1"/>
  <c r="I470" i="1"/>
  <c r="K470" i="1" s="1"/>
  <c r="J470" i="1"/>
  <c r="H470" i="1" l="1"/>
  <c r="D471" i="1" s="1"/>
  <c r="E471" i="1"/>
  <c r="G471" i="1" s="1"/>
  <c r="I471" i="1"/>
  <c r="K471" i="1" s="1"/>
  <c r="J471" i="1" l="1"/>
  <c r="H471" i="1"/>
  <c r="D472" i="1" s="1"/>
  <c r="I472" i="1" l="1"/>
  <c r="K472" i="1" s="1"/>
  <c r="E472" i="1"/>
  <c r="G472" i="1" s="1"/>
  <c r="H472" i="1" s="1"/>
  <c r="D473" i="1" s="1"/>
  <c r="J472" i="1" l="1"/>
  <c r="I473" i="1"/>
  <c r="K473" i="1" s="1"/>
  <c r="E473" i="1"/>
  <c r="G473" i="1" s="1"/>
  <c r="H473" i="1" s="1"/>
  <c r="D474" i="1" s="1"/>
  <c r="E474" i="1" l="1"/>
  <c r="G474" i="1" s="1"/>
  <c r="I474" i="1"/>
  <c r="K474" i="1" s="1"/>
  <c r="J474" i="1"/>
  <c r="J473" i="1"/>
  <c r="H474" i="1" l="1"/>
  <c r="D475" i="1" s="1"/>
  <c r="I475" i="1"/>
  <c r="K475" i="1" s="1"/>
  <c r="E475" i="1"/>
  <c r="G475" i="1" s="1"/>
  <c r="H475" i="1" s="1"/>
  <c r="D476" i="1" s="1"/>
  <c r="J475" i="1" l="1"/>
  <c r="I476" i="1"/>
  <c r="K476" i="1" s="1"/>
  <c r="E476" i="1"/>
  <c r="G476" i="1" s="1"/>
  <c r="H476" i="1" s="1"/>
  <c r="D477" i="1" s="1"/>
  <c r="E477" i="1" l="1"/>
  <c r="G477" i="1" s="1"/>
  <c r="I477" i="1"/>
  <c r="K477" i="1" s="1"/>
  <c r="J477" i="1"/>
  <c r="J476" i="1"/>
  <c r="H477" i="1" l="1"/>
  <c r="D478" i="1" s="1"/>
  <c r="E478" i="1"/>
  <c r="G478" i="1" s="1"/>
  <c r="I478" i="1"/>
  <c r="K478" i="1" s="1"/>
  <c r="J478" i="1"/>
  <c r="H478" i="1" l="1"/>
  <c r="D479" i="1" s="1"/>
  <c r="I479" i="1"/>
  <c r="K479" i="1" s="1"/>
  <c r="E479" i="1"/>
  <c r="G479" i="1" s="1"/>
  <c r="H479" i="1" s="1"/>
  <c r="D480" i="1" s="1"/>
  <c r="J479" i="1" l="1"/>
  <c r="I480" i="1"/>
  <c r="K480" i="1" s="1"/>
  <c r="E480" i="1"/>
  <c r="G480" i="1" s="1"/>
  <c r="J480" i="1" l="1"/>
  <c r="H480" i="1"/>
  <c r="D481" i="1" s="1"/>
  <c r="E481" i="1" l="1"/>
  <c r="G481" i="1" s="1"/>
  <c r="I481" i="1"/>
  <c r="K481" i="1" s="1"/>
  <c r="J481" i="1" l="1"/>
  <c r="H481" i="1"/>
  <c r="D482" i="1" s="1"/>
  <c r="I482" i="1" l="1"/>
  <c r="K482" i="1" s="1"/>
  <c r="E482" i="1"/>
  <c r="G482" i="1" s="1"/>
  <c r="H482" i="1" s="1"/>
  <c r="D483" i="1" s="1"/>
  <c r="J482" i="1" l="1"/>
  <c r="I483" i="1"/>
  <c r="K483" i="1" s="1"/>
  <c r="E483" i="1"/>
  <c r="G483" i="1" s="1"/>
  <c r="H483" i="1" s="1"/>
  <c r="D484" i="1" s="1"/>
  <c r="J483" i="1" l="1"/>
  <c r="E484" i="1"/>
  <c r="G484" i="1" s="1"/>
  <c r="I484" i="1"/>
  <c r="K484" i="1" s="1"/>
  <c r="J484" i="1"/>
  <c r="H484" i="1" l="1"/>
  <c r="D485" i="1" s="1"/>
  <c r="I485" i="1"/>
  <c r="K485" i="1" s="1"/>
  <c r="E485" i="1"/>
  <c r="G485" i="1" s="1"/>
  <c r="H485" i="1" s="1"/>
  <c r="D486" i="1" s="1"/>
  <c r="J485" i="1" l="1"/>
  <c r="E486" i="1"/>
  <c r="G486" i="1" s="1"/>
  <c r="I486" i="1"/>
  <c r="K486" i="1" s="1"/>
  <c r="J486" i="1"/>
  <c r="H486" i="1" l="1"/>
  <c r="D487" i="1" s="1"/>
  <c r="E487" i="1" l="1"/>
  <c r="G487" i="1" s="1"/>
  <c r="I487" i="1"/>
  <c r="K487" i="1" s="1"/>
  <c r="J487" i="1" l="1"/>
  <c r="H487" i="1"/>
  <c r="D488" i="1" s="1"/>
  <c r="I488" i="1" l="1"/>
  <c r="K488" i="1" s="1"/>
  <c r="E488" i="1"/>
  <c r="G488" i="1" s="1"/>
  <c r="H488" i="1" l="1"/>
  <c r="D489" i="1" s="1"/>
  <c r="J488" i="1"/>
  <c r="E489" i="1" l="1"/>
  <c r="G489" i="1" s="1"/>
  <c r="I489" i="1"/>
  <c r="K489" i="1" s="1"/>
  <c r="J489" i="1" l="1"/>
  <c r="H489" i="1"/>
  <c r="D490" i="1" s="1"/>
  <c r="E490" i="1" l="1"/>
  <c r="G490" i="1" s="1"/>
  <c r="I490" i="1"/>
  <c r="K490" i="1" s="1"/>
  <c r="J490" i="1" l="1"/>
  <c r="H490" i="1"/>
  <c r="D491" i="1" s="1"/>
  <c r="E491" i="1" l="1"/>
  <c r="G491" i="1" s="1"/>
  <c r="I491" i="1"/>
  <c r="K491" i="1" s="1"/>
  <c r="H491" i="1" l="1"/>
  <c r="D492" i="1" s="1"/>
  <c r="J491" i="1"/>
  <c r="I492" i="1" l="1"/>
  <c r="K492" i="1" s="1"/>
  <c r="E492" i="1"/>
  <c r="G492" i="1" s="1"/>
  <c r="H492" i="1" s="1"/>
  <c r="D493" i="1" s="1"/>
  <c r="E493" i="1" s="1"/>
  <c r="G493" i="1" s="1"/>
  <c r="J493" i="1" l="1"/>
  <c r="I493" i="1"/>
  <c r="K493" i="1" s="1"/>
  <c r="J492" i="1"/>
  <c r="H493" i="1"/>
  <c r="D494" i="1" s="1"/>
  <c r="E494" i="1" s="1"/>
  <c r="G494" i="1" s="1"/>
  <c r="I494" i="1" l="1"/>
  <c r="K494" i="1" s="1"/>
  <c r="J494" i="1"/>
  <c r="H494" i="1" l="1"/>
  <c r="D495" i="1" s="1"/>
  <c r="E495" i="1" l="1"/>
  <c r="G495" i="1" s="1"/>
  <c r="I495" i="1"/>
  <c r="K495" i="1" s="1"/>
  <c r="H495" i="1" l="1"/>
  <c r="D496" i="1" s="1"/>
  <c r="J495" i="1"/>
  <c r="E496" i="1" l="1"/>
  <c r="G496" i="1" s="1"/>
  <c r="I496" i="1"/>
  <c r="K496" i="1" s="1"/>
  <c r="J496" i="1"/>
  <c r="H496" i="1" l="1"/>
  <c r="D497" i="1" s="1"/>
  <c r="E497" i="1" l="1"/>
  <c r="G497" i="1" s="1"/>
  <c r="I497" i="1"/>
  <c r="K497" i="1" s="1"/>
  <c r="J497" i="1"/>
  <c r="H497" i="1" l="1"/>
  <c r="D498" i="1" s="1"/>
  <c r="E498" i="1" l="1"/>
  <c r="G498" i="1" s="1"/>
  <c r="I498" i="1"/>
  <c r="K498" i="1" s="1"/>
  <c r="J498" i="1"/>
  <c r="H498" i="1" l="1"/>
  <c r="D499" i="1" s="1"/>
  <c r="I499" i="1" l="1"/>
  <c r="K499" i="1" s="1"/>
  <c r="E499" i="1"/>
  <c r="G499" i="1" s="1"/>
  <c r="H499" i="1" s="1"/>
  <c r="D500" i="1" s="1"/>
  <c r="J499" i="1"/>
  <c r="E500" i="1" l="1"/>
  <c r="G500" i="1" s="1"/>
  <c r="I500" i="1"/>
  <c r="K500" i="1" s="1"/>
  <c r="J500" i="1"/>
  <c r="H500" i="1" l="1"/>
  <c r="D501" i="1" s="1"/>
  <c r="I501" i="1" l="1"/>
  <c r="K501" i="1" s="1"/>
  <c r="E501" i="1"/>
  <c r="G501" i="1" s="1"/>
  <c r="H501" i="1" s="1"/>
  <c r="D502" i="1" s="1"/>
  <c r="E502" i="1" l="1"/>
  <c r="G502" i="1" s="1"/>
  <c r="J502" i="1"/>
  <c r="I502" i="1"/>
  <c r="K502" i="1" s="1"/>
  <c r="J501" i="1"/>
  <c r="H502" i="1" l="1"/>
  <c r="D503" i="1" s="1"/>
  <c r="E503" i="1" l="1"/>
  <c r="G503" i="1" s="1"/>
  <c r="J503" i="1"/>
  <c r="I503" i="1"/>
  <c r="K503" i="1" s="1"/>
  <c r="H503" i="1" l="1"/>
  <c r="D504" i="1" s="1"/>
  <c r="E504" i="1" l="1"/>
  <c r="G504" i="1" s="1"/>
  <c r="J504" i="1"/>
  <c r="I504" i="1"/>
  <c r="K504" i="1" s="1"/>
  <c r="H504" i="1" l="1"/>
  <c r="D505" i="1" s="1"/>
  <c r="E505" i="1" l="1"/>
  <c r="G505" i="1" s="1"/>
  <c r="I505" i="1"/>
  <c r="K505" i="1" s="1"/>
  <c r="J505" i="1"/>
  <c r="H505" i="1" l="1"/>
  <c r="D506" i="1" s="1"/>
  <c r="E506" i="1" l="1"/>
  <c r="G506" i="1" s="1"/>
  <c r="I506" i="1"/>
  <c r="K506" i="1" s="1"/>
  <c r="H506" i="1" l="1"/>
  <c r="D507" i="1" s="1"/>
  <c r="J506" i="1"/>
  <c r="E507" i="1" l="1"/>
  <c r="G507" i="1" s="1"/>
  <c r="I507" i="1"/>
  <c r="K507" i="1" s="1"/>
  <c r="J507" i="1"/>
  <c r="H507" i="1" l="1"/>
  <c r="D508" i="1" s="1"/>
  <c r="E508" i="1" l="1"/>
  <c r="G508" i="1" s="1"/>
  <c r="I508" i="1"/>
  <c r="K508" i="1" s="1"/>
  <c r="J508" i="1"/>
  <c r="H508" i="1" l="1"/>
  <c r="D509" i="1" s="1"/>
  <c r="E509" i="1" l="1"/>
  <c r="G509" i="1" s="1"/>
  <c r="I509" i="1"/>
  <c r="K509" i="1" s="1"/>
  <c r="J509" i="1"/>
  <c r="H509" i="1" l="1"/>
  <c r="D510" i="1" s="1"/>
  <c r="I510" i="1" l="1"/>
  <c r="K510" i="1" s="1"/>
  <c r="E510" i="1"/>
  <c r="G510" i="1" s="1"/>
  <c r="H510" i="1" s="1"/>
  <c r="D511" i="1" s="1"/>
  <c r="J510" i="1"/>
  <c r="E511" i="1" l="1"/>
  <c r="G511" i="1" s="1"/>
  <c r="J511" i="1"/>
  <c r="I511" i="1"/>
  <c r="K511" i="1" s="1"/>
  <c r="H511" i="1" l="1"/>
  <c r="D512" i="1" s="1"/>
  <c r="E512" i="1" l="1"/>
  <c r="G512" i="1" s="1"/>
  <c r="I512" i="1"/>
  <c r="K512" i="1" s="1"/>
  <c r="J512" i="1"/>
  <c r="H512" i="1" l="1"/>
  <c r="D513" i="1" s="1"/>
  <c r="E513" i="1" l="1"/>
  <c r="G513" i="1" s="1"/>
  <c r="J513" i="1"/>
  <c r="I513" i="1"/>
  <c r="K513" i="1" s="1"/>
  <c r="H513" i="1" l="1"/>
  <c r="D514" i="1" s="1"/>
  <c r="E514" i="1" l="1"/>
  <c r="G514" i="1" s="1"/>
  <c r="I514" i="1"/>
  <c r="K514" i="1" s="1"/>
  <c r="J514" i="1"/>
  <c r="H514" i="1" l="1"/>
  <c r="D515" i="1" s="1"/>
  <c r="I515" i="1" l="1"/>
  <c r="K515" i="1" s="1"/>
  <c r="E515" i="1"/>
  <c r="G515" i="1" s="1"/>
  <c r="H515" i="1" s="1"/>
  <c r="D516" i="1" s="1"/>
  <c r="J515" i="1"/>
  <c r="E516" i="1" l="1"/>
  <c r="G516" i="1" s="1"/>
  <c r="I516" i="1"/>
  <c r="K516" i="1" s="1"/>
  <c r="J516" i="1"/>
  <c r="H516" i="1" l="1"/>
  <c r="D517" i="1" s="1"/>
  <c r="I517" i="1" l="1"/>
  <c r="K517" i="1" s="1"/>
  <c r="E517" i="1"/>
  <c r="G517" i="1" s="1"/>
  <c r="H517" i="1" s="1"/>
  <c r="D518" i="1" s="1"/>
  <c r="J517" i="1"/>
  <c r="E518" i="1" l="1"/>
  <c r="G518" i="1" s="1"/>
  <c r="I518" i="1"/>
  <c r="K518" i="1" s="1"/>
  <c r="J518" i="1"/>
  <c r="H518" i="1" l="1"/>
  <c r="D519" i="1" s="1"/>
  <c r="E519" i="1" l="1"/>
  <c r="G519" i="1" s="1"/>
  <c r="I519" i="1"/>
  <c r="K519" i="1" s="1"/>
  <c r="J519" i="1"/>
  <c r="H519" i="1" l="1"/>
  <c r="D520" i="1" s="1"/>
  <c r="I520" i="1" l="1"/>
  <c r="K520" i="1" s="1"/>
  <c r="E520" i="1"/>
  <c r="G520" i="1" s="1"/>
  <c r="H520" i="1" s="1"/>
  <c r="D521" i="1" s="1"/>
  <c r="J520" i="1"/>
  <c r="E521" i="1" l="1"/>
  <c r="G521" i="1" s="1"/>
  <c r="I521" i="1"/>
  <c r="K521" i="1" s="1"/>
  <c r="J521" i="1"/>
  <c r="H521" i="1" l="1"/>
  <c r="D522" i="1" s="1"/>
  <c r="I522" i="1" l="1"/>
  <c r="K522" i="1" s="1"/>
  <c r="E522" i="1"/>
  <c r="G522" i="1" s="1"/>
  <c r="H522" i="1" s="1"/>
  <c r="D523" i="1" s="1"/>
  <c r="J522" i="1"/>
  <c r="E523" i="1" l="1"/>
  <c r="G523" i="1" s="1"/>
  <c r="I523" i="1"/>
  <c r="K523" i="1" s="1"/>
  <c r="J523" i="1"/>
  <c r="H523" i="1" l="1"/>
  <c r="D524" i="1" s="1"/>
  <c r="E524" i="1" l="1"/>
  <c r="G524" i="1" s="1"/>
  <c r="I524" i="1"/>
  <c r="K524" i="1" s="1"/>
  <c r="J524" i="1"/>
  <c r="H524" i="1" l="1"/>
  <c r="D525" i="1" s="1"/>
  <c r="I525" i="1" l="1"/>
  <c r="K525" i="1" s="1"/>
  <c r="E525" i="1"/>
  <c r="G525" i="1" s="1"/>
  <c r="H525" i="1" s="1"/>
  <c r="D526" i="1" s="1"/>
  <c r="J525" i="1"/>
  <c r="I526" i="1" l="1"/>
  <c r="K526" i="1" s="1"/>
  <c r="E526" i="1"/>
  <c r="G526" i="1" s="1"/>
  <c r="H526" i="1" s="1"/>
  <c r="D527" i="1" s="1"/>
  <c r="E527" i="1" l="1"/>
  <c r="G527" i="1" s="1"/>
  <c r="I527" i="1"/>
  <c r="K527" i="1" s="1"/>
  <c r="J527" i="1"/>
  <c r="J526" i="1"/>
  <c r="H527" i="1" l="1"/>
  <c r="D528" i="1" s="1"/>
  <c r="E528" i="1" l="1"/>
  <c r="G528" i="1" s="1"/>
  <c r="I528" i="1"/>
  <c r="K528" i="1" s="1"/>
  <c r="J528" i="1"/>
  <c r="H528" i="1" l="1"/>
  <c r="D529" i="1" s="1"/>
  <c r="E529" i="1" l="1"/>
  <c r="G529" i="1" s="1"/>
  <c r="I529" i="1"/>
  <c r="K529" i="1" s="1"/>
  <c r="J529" i="1"/>
  <c r="H529" i="1" l="1"/>
  <c r="D530" i="1" s="1"/>
  <c r="I530" i="1" l="1"/>
  <c r="K530" i="1" s="1"/>
  <c r="E530" i="1"/>
  <c r="G530" i="1" s="1"/>
  <c r="H530" i="1" s="1"/>
  <c r="D531" i="1" s="1"/>
  <c r="J530" i="1" l="1"/>
  <c r="E531" i="1"/>
  <c r="G531" i="1" s="1"/>
  <c r="H531" i="1" s="1"/>
  <c r="D532" i="1" s="1"/>
  <c r="J531" i="1"/>
  <c r="I531" i="1"/>
  <c r="K531" i="1" s="1"/>
  <c r="I532" i="1" l="1"/>
  <c r="K532" i="1" s="1"/>
  <c r="E532" i="1"/>
  <c r="G532" i="1" s="1"/>
  <c r="H532" i="1" s="1"/>
  <c r="D533" i="1" s="1"/>
  <c r="I533" i="1" l="1"/>
  <c r="K533" i="1" s="1"/>
  <c r="E533" i="1"/>
  <c r="G533" i="1" s="1"/>
  <c r="J532" i="1"/>
  <c r="J533" i="1" l="1"/>
  <c r="H533" i="1"/>
  <c r="D534" i="1" s="1"/>
  <c r="I534" i="1" l="1"/>
  <c r="K534" i="1" s="1"/>
  <c r="E534" i="1"/>
  <c r="G534" i="1" s="1"/>
  <c r="H534" i="1" s="1"/>
  <c r="D535" i="1" s="1"/>
  <c r="E535" i="1" l="1"/>
  <c r="G535" i="1" s="1"/>
  <c r="H535" i="1" s="1"/>
  <c r="D536" i="1" s="1"/>
  <c r="I535" i="1"/>
  <c r="K535" i="1" s="1"/>
  <c r="J534" i="1"/>
  <c r="J535" i="1" l="1"/>
  <c r="I536" i="1"/>
  <c r="K536" i="1" s="1"/>
  <c r="E536" i="1"/>
  <c r="G536" i="1" s="1"/>
  <c r="H536" i="1" s="1"/>
  <c r="D537" i="1" s="1"/>
  <c r="J536" i="1"/>
  <c r="I537" i="1" l="1"/>
  <c r="K537" i="1" s="1"/>
  <c r="E537" i="1"/>
  <c r="G537" i="1" s="1"/>
  <c r="H537" i="1" s="1"/>
  <c r="D538" i="1" s="1"/>
  <c r="J537" i="1"/>
  <c r="I538" i="1" l="1"/>
  <c r="K538" i="1" s="1"/>
  <c r="E538" i="1"/>
  <c r="G538" i="1" s="1"/>
  <c r="H538" i="1" s="1"/>
  <c r="D539" i="1" s="1"/>
  <c r="J538" i="1"/>
  <c r="I539" i="1" l="1"/>
  <c r="K539" i="1" s="1"/>
  <c r="E539" i="1"/>
  <c r="G539" i="1" s="1"/>
  <c r="H539" i="1" s="1"/>
  <c r="D540" i="1" s="1"/>
  <c r="J539" i="1"/>
  <c r="I540" i="1" l="1"/>
  <c r="K540" i="1" s="1"/>
  <c r="E540" i="1"/>
  <c r="G540" i="1" s="1"/>
  <c r="H540" i="1" s="1"/>
  <c r="D541" i="1" s="1"/>
  <c r="J540" i="1"/>
  <c r="E541" i="1" l="1"/>
  <c r="G541" i="1" s="1"/>
  <c r="I541" i="1"/>
  <c r="K541" i="1" s="1"/>
  <c r="J541" i="1"/>
  <c r="H541" i="1" l="1"/>
  <c r="D542" i="1" s="1"/>
  <c r="I542" i="1" l="1"/>
  <c r="K542" i="1" s="1"/>
  <c r="E542" i="1"/>
  <c r="G542" i="1" s="1"/>
  <c r="H542" i="1" s="1"/>
  <c r="D543" i="1" s="1"/>
  <c r="J542" i="1" l="1"/>
  <c r="E543" i="1"/>
  <c r="G543" i="1" s="1"/>
  <c r="H543" i="1" s="1"/>
  <c r="D544" i="1" s="1"/>
  <c r="I543" i="1"/>
  <c r="K543" i="1" s="1"/>
  <c r="J543" i="1"/>
  <c r="E544" i="1" l="1"/>
  <c r="G544" i="1" s="1"/>
  <c r="I544" i="1"/>
  <c r="K544" i="1" s="1"/>
  <c r="J544" i="1"/>
  <c r="H544" i="1" l="1"/>
  <c r="D545" i="1" s="1"/>
  <c r="E545" i="1" l="1"/>
  <c r="G545" i="1" s="1"/>
  <c r="H545" i="1" s="1"/>
  <c r="D546" i="1" s="1"/>
  <c r="I545" i="1"/>
  <c r="K545" i="1" s="1"/>
  <c r="J545" i="1"/>
  <c r="E546" i="1" l="1"/>
  <c r="G546" i="1" s="1"/>
  <c r="I546" i="1"/>
  <c r="K546" i="1" s="1"/>
  <c r="J546" i="1"/>
  <c r="H546" i="1" l="1"/>
  <c r="D547" i="1" s="1"/>
  <c r="I547" i="1" l="1"/>
  <c r="K547" i="1" s="1"/>
  <c r="E547" i="1"/>
  <c r="G547" i="1" s="1"/>
  <c r="H547" i="1" s="1"/>
  <c r="D548" i="1" s="1"/>
  <c r="I548" i="1" l="1"/>
  <c r="K548" i="1" s="1"/>
  <c r="E548" i="1"/>
  <c r="G548" i="1" s="1"/>
  <c r="H548" i="1" s="1"/>
  <c r="D549" i="1" s="1"/>
  <c r="J548" i="1"/>
  <c r="J547" i="1"/>
  <c r="I549" i="1" l="1"/>
  <c r="K549" i="1" s="1"/>
  <c r="E549" i="1"/>
  <c r="G549" i="1" s="1"/>
  <c r="H549" i="1" s="1"/>
  <c r="D550" i="1" s="1"/>
  <c r="E550" i="1" l="1"/>
  <c r="G550" i="1" s="1"/>
  <c r="I550" i="1"/>
  <c r="K550" i="1" s="1"/>
  <c r="J550" i="1"/>
  <c r="J549" i="1"/>
  <c r="H550" i="1" l="1"/>
  <c r="D551" i="1" s="1"/>
  <c r="I551" i="1" l="1"/>
  <c r="K551" i="1" s="1"/>
  <c r="E551" i="1"/>
  <c r="G551" i="1" s="1"/>
  <c r="H551" i="1" s="1"/>
  <c r="D552" i="1" s="1"/>
  <c r="J551" i="1"/>
  <c r="I552" i="1" l="1"/>
  <c r="K552" i="1" s="1"/>
  <c r="E552" i="1"/>
  <c r="G552" i="1" s="1"/>
  <c r="H552" i="1" s="1"/>
  <c r="D553" i="1" s="1"/>
  <c r="J552" i="1" l="1"/>
  <c r="I553" i="1"/>
  <c r="K553" i="1" s="1"/>
  <c r="E553" i="1"/>
  <c r="G553" i="1" s="1"/>
  <c r="H553" i="1" s="1"/>
  <c r="D554" i="1" s="1"/>
  <c r="J553" i="1" l="1"/>
  <c r="E554" i="1"/>
  <c r="G554" i="1" s="1"/>
  <c r="I554" i="1"/>
  <c r="K554" i="1" s="1"/>
  <c r="J554" i="1" l="1"/>
  <c r="H554" i="1"/>
  <c r="D555" i="1" s="1"/>
  <c r="I555" i="1" l="1"/>
  <c r="K555" i="1" s="1"/>
  <c r="E555" i="1"/>
  <c r="G555" i="1" s="1"/>
  <c r="H555" i="1" s="1"/>
  <c r="D556" i="1" s="1"/>
  <c r="J555" i="1" l="1"/>
  <c r="I556" i="1"/>
  <c r="K556" i="1" s="1"/>
  <c r="E556" i="1"/>
  <c r="G556" i="1" s="1"/>
  <c r="H556" i="1" s="1"/>
  <c r="D557" i="1" s="1"/>
  <c r="E557" i="1" l="1"/>
  <c r="G557" i="1" s="1"/>
  <c r="H557" i="1" s="1"/>
  <c r="D558" i="1" s="1"/>
  <c r="I557" i="1"/>
  <c r="K557" i="1" s="1"/>
  <c r="J557" i="1"/>
  <c r="J556" i="1"/>
  <c r="E558" i="1" l="1"/>
  <c r="G558" i="1" s="1"/>
  <c r="H558" i="1" s="1"/>
  <c r="D559" i="1" s="1"/>
  <c r="I558" i="1"/>
  <c r="K558" i="1" s="1"/>
  <c r="J558" i="1"/>
  <c r="I559" i="1" l="1"/>
  <c r="K559" i="1" s="1"/>
  <c r="E559" i="1"/>
  <c r="G559" i="1" s="1"/>
  <c r="H559" i="1" s="1"/>
  <c r="D560" i="1" s="1"/>
  <c r="J559" i="1" l="1"/>
  <c r="E560" i="1"/>
  <c r="G560" i="1" s="1"/>
  <c r="H560" i="1" s="1"/>
  <c r="D561" i="1" s="1"/>
  <c r="I560" i="1"/>
  <c r="K560" i="1" s="1"/>
  <c r="E561" i="1" l="1"/>
  <c r="G561" i="1" s="1"/>
  <c r="H561" i="1" s="1"/>
  <c r="D562" i="1" s="1"/>
  <c r="I561" i="1"/>
  <c r="K561" i="1" s="1"/>
  <c r="J561" i="1"/>
  <c r="J560" i="1"/>
  <c r="I562" i="1" l="1"/>
  <c r="K562" i="1" s="1"/>
  <c r="E562" i="1"/>
  <c r="G562" i="1" s="1"/>
  <c r="H562" i="1" s="1"/>
  <c r="D563" i="1" s="1"/>
  <c r="E563" i="1" l="1"/>
  <c r="G563" i="1" s="1"/>
  <c r="I563" i="1"/>
  <c r="K563" i="1" s="1"/>
  <c r="J562" i="1"/>
  <c r="J563" i="1" l="1"/>
  <c r="H563" i="1"/>
  <c r="D564" i="1" s="1"/>
  <c r="E564" i="1" l="1"/>
  <c r="G564" i="1" s="1"/>
  <c r="H564" i="1" s="1"/>
  <c r="D565" i="1" s="1"/>
  <c r="I564" i="1"/>
  <c r="K564" i="1" s="1"/>
  <c r="J564" i="1"/>
  <c r="I565" i="1" l="1"/>
  <c r="K565" i="1" s="1"/>
  <c r="E565" i="1"/>
  <c r="G565" i="1" s="1"/>
  <c r="H565" i="1" s="1"/>
  <c r="D566" i="1" s="1"/>
  <c r="J565" i="1" l="1"/>
  <c r="I566" i="1"/>
  <c r="K566" i="1" s="1"/>
  <c r="E566" i="1"/>
  <c r="G566" i="1" s="1"/>
  <c r="H566" i="1" s="1"/>
  <c r="D567" i="1" s="1"/>
  <c r="I567" i="1" l="1"/>
  <c r="K567" i="1" s="1"/>
  <c r="E567" i="1"/>
  <c r="G567" i="1" s="1"/>
  <c r="H567" i="1" s="1"/>
  <c r="D568" i="1" s="1"/>
  <c r="J566" i="1"/>
  <c r="J567" i="1" l="1"/>
  <c r="E568" i="1"/>
  <c r="G568" i="1" s="1"/>
  <c r="H568" i="1" s="1"/>
  <c r="D569" i="1" s="1"/>
  <c r="I568" i="1"/>
  <c r="K568" i="1" s="1"/>
  <c r="I569" i="1" l="1"/>
  <c r="K569" i="1" s="1"/>
  <c r="E569" i="1"/>
  <c r="G569" i="1" s="1"/>
  <c r="H569" i="1" s="1"/>
  <c r="D570" i="1" s="1"/>
  <c r="J568" i="1"/>
  <c r="J569" i="1" l="1"/>
  <c r="E570" i="1"/>
  <c r="G570" i="1" s="1"/>
  <c r="I570" i="1"/>
  <c r="K570" i="1" s="1"/>
  <c r="J570" i="1" l="1"/>
  <c r="H570" i="1"/>
  <c r="D571" i="1" s="1"/>
  <c r="E571" i="1" l="1"/>
  <c r="G571" i="1" s="1"/>
  <c r="J571" i="1" s="1"/>
  <c r="I571" i="1"/>
  <c r="K571" i="1" s="1"/>
  <c r="H571" i="1" l="1"/>
  <c r="D572" i="1" s="1"/>
  <c r="I572" i="1" l="1"/>
  <c r="K572" i="1" s="1"/>
  <c r="E572" i="1"/>
  <c r="G572" i="1" s="1"/>
  <c r="H572" i="1" s="1"/>
  <c r="D573" i="1" s="1"/>
  <c r="J572" i="1" l="1"/>
  <c r="E573" i="1"/>
  <c r="G573" i="1" s="1"/>
  <c r="H573" i="1" s="1"/>
  <c r="D574" i="1" s="1"/>
  <c r="I573" i="1"/>
  <c r="K573" i="1" s="1"/>
  <c r="E574" i="1" l="1"/>
  <c r="G574" i="1" s="1"/>
  <c r="H574" i="1" s="1"/>
  <c r="D575" i="1" s="1"/>
  <c r="I574" i="1"/>
  <c r="K574" i="1" s="1"/>
  <c r="J574" i="1"/>
  <c r="J573" i="1"/>
  <c r="I575" i="1" l="1"/>
  <c r="K575" i="1" s="1"/>
  <c r="E575" i="1"/>
  <c r="G575" i="1" s="1"/>
  <c r="H575" i="1" s="1"/>
  <c r="D576" i="1" s="1"/>
  <c r="J575" i="1" l="1"/>
  <c r="I576" i="1"/>
  <c r="K576" i="1" s="1"/>
  <c r="E576" i="1"/>
  <c r="G576" i="1" s="1"/>
  <c r="H576" i="1" s="1"/>
  <c r="D577" i="1" s="1"/>
  <c r="J576" i="1" l="1"/>
  <c r="E577" i="1"/>
  <c r="G577" i="1" s="1"/>
  <c r="H577" i="1" s="1"/>
  <c r="D578" i="1" s="1"/>
  <c r="I577" i="1"/>
  <c r="K577" i="1" s="1"/>
  <c r="I578" i="1" l="1"/>
  <c r="K578" i="1" s="1"/>
  <c r="E578" i="1"/>
  <c r="G578" i="1" s="1"/>
  <c r="H578" i="1" s="1"/>
  <c r="D579" i="1" s="1"/>
  <c r="J577" i="1"/>
  <c r="J578" i="1" l="1"/>
  <c r="I579" i="1"/>
  <c r="K579" i="1" s="1"/>
  <c r="E579" i="1"/>
  <c r="G579" i="1" s="1"/>
  <c r="H579" i="1" s="1"/>
  <c r="D580" i="1" s="1"/>
  <c r="J579" i="1" l="1"/>
  <c r="E580" i="1"/>
  <c r="G580" i="1" s="1"/>
  <c r="I580" i="1"/>
  <c r="K580" i="1" s="1"/>
  <c r="H580" i="1" l="1"/>
  <c r="D581" i="1" s="1"/>
  <c r="J580" i="1"/>
  <c r="E581" i="1" l="1"/>
  <c r="G581" i="1" s="1"/>
  <c r="H581" i="1" s="1"/>
  <c r="D582" i="1" s="1"/>
  <c r="I581" i="1"/>
  <c r="K581" i="1" s="1"/>
  <c r="J581" i="1"/>
  <c r="I582" i="1" l="1"/>
  <c r="K582" i="1" s="1"/>
  <c r="E582" i="1"/>
  <c r="G582" i="1" s="1"/>
  <c r="H582" i="1" s="1"/>
  <c r="D583" i="1" s="1"/>
  <c r="I583" i="1" l="1"/>
  <c r="K583" i="1" s="1"/>
  <c r="E583" i="1"/>
  <c r="G583" i="1" s="1"/>
  <c r="H583" i="1" s="1"/>
  <c r="D584" i="1" s="1"/>
  <c r="J582" i="1"/>
  <c r="J583" i="1" l="1"/>
  <c r="E584" i="1"/>
  <c r="G584" i="1" s="1"/>
  <c r="H584" i="1" s="1"/>
  <c r="D585" i="1" s="1"/>
  <c r="I584" i="1"/>
  <c r="K584" i="1" s="1"/>
  <c r="J584" i="1"/>
  <c r="E585" i="1" l="1"/>
  <c r="G585" i="1" s="1"/>
  <c r="H585" i="1" s="1"/>
  <c r="D586" i="1" s="1"/>
  <c r="I585" i="1"/>
  <c r="K585" i="1" s="1"/>
  <c r="J585" i="1"/>
  <c r="I586" i="1" l="1"/>
  <c r="K586" i="1" s="1"/>
  <c r="E586" i="1"/>
  <c r="G586" i="1" s="1"/>
  <c r="H586" i="1" s="1"/>
  <c r="D587" i="1" s="1"/>
  <c r="J586" i="1" l="1"/>
  <c r="I587" i="1"/>
  <c r="K587" i="1" s="1"/>
  <c r="E587" i="1"/>
  <c r="G587" i="1" s="1"/>
  <c r="H587" i="1" l="1"/>
  <c r="D588" i="1" s="1"/>
  <c r="J587" i="1"/>
  <c r="E588" i="1" l="1"/>
  <c r="G588" i="1" s="1"/>
  <c r="H588" i="1" s="1"/>
  <c r="D589" i="1" s="1"/>
  <c r="I588" i="1"/>
  <c r="K588" i="1" s="1"/>
  <c r="J588" i="1"/>
  <c r="E589" i="1" l="1"/>
  <c r="G589" i="1" s="1"/>
  <c r="I589" i="1"/>
  <c r="K589" i="1" s="1"/>
  <c r="H589" i="1" l="1"/>
  <c r="D590" i="1" s="1"/>
  <c r="J589" i="1"/>
  <c r="K4" i="1"/>
  <c r="K6" i="1" s="1"/>
  <c r="I590" i="1" l="1"/>
  <c r="K590" i="1" s="1"/>
  <c r="E590" i="1"/>
  <c r="G590" i="1" s="1"/>
  <c r="H590" i="1" s="1"/>
  <c r="D591" i="1" s="1"/>
  <c r="J590" i="1" l="1"/>
  <c r="E591" i="1"/>
  <c r="G591" i="1" s="1"/>
  <c r="H591" i="1" s="1"/>
  <c r="D592" i="1" s="1"/>
  <c r="I591" i="1"/>
  <c r="K591" i="1" s="1"/>
  <c r="E592" i="1" l="1"/>
  <c r="G592" i="1" s="1"/>
  <c r="H592" i="1" s="1"/>
  <c r="D593" i="1" s="1"/>
  <c r="I593" i="1" s="1"/>
  <c r="K593" i="1" s="1"/>
  <c r="I592" i="1"/>
  <c r="K592" i="1" s="1"/>
  <c r="J592" i="1"/>
  <c r="J591" i="1"/>
  <c r="E593" i="1"/>
  <c r="G593" i="1" s="1"/>
  <c r="H593" i="1" l="1"/>
  <c r="D594" i="1" s="1"/>
  <c r="E594" i="1"/>
  <c r="G594" i="1" s="1"/>
  <c r="J594" i="1" s="1"/>
  <c r="I594" i="1"/>
  <c r="K594" i="1" s="1"/>
  <c r="J593" i="1"/>
  <c r="H594" i="1" l="1"/>
  <c r="D595" i="1" s="1"/>
  <c r="E595" i="1" l="1"/>
  <c r="G595" i="1" s="1"/>
  <c r="I595" i="1"/>
  <c r="K595" i="1" s="1"/>
  <c r="J595" i="1"/>
  <c r="H595" i="1" l="1"/>
  <c r="D596" i="1" s="1"/>
  <c r="E596" i="1" l="1"/>
  <c r="G596" i="1" s="1"/>
  <c r="I596" i="1"/>
  <c r="K596" i="1" s="1"/>
  <c r="J596" i="1"/>
  <c r="H596" i="1" l="1"/>
  <c r="D597" i="1" s="1"/>
  <c r="I597" i="1" l="1"/>
  <c r="K597" i="1" s="1"/>
  <c r="E597" i="1"/>
  <c r="G597" i="1" s="1"/>
  <c r="H597" i="1" s="1"/>
  <c r="D598" i="1" s="1"/>
  <c r="I598" i="1" l="1"/>
  <c r="K598" i="1" s="1"/>
  <c r="E598" i="1"/>
  <c r="G598" i="1" s="1"/>
  <c r="H598" i="1" s="1"/>
  <c r="D599" i="1"/>
  <c r="J597" i="1"/>
  <c r="J598" i="1" l="1"/>
  <c r="I599" i="1"/>
  <c r="K599" i="1" s="1"/>
  <c r="E599" i="1"/>
  <c r="G599" i="1" s="1"/>
  <c r="H599" i="1" s="1"/>
  <c r="D600" i="1" s="1"/>
  <c r="I600" i="1" l="1"/>
  <c r="K600" i="1" s="1"/>
  <c r="E600" i="1"/>
  <c r="G600" i="1" s="1"/>
  <c r="H600" i="1" s="1"/>
  <c r="D601" i="1"/>
  <c r="J599" i="1"/>
  <c r="J600" i="1" l="1"/>
  <c r="I601" i="1"/>
  <c r="K601" i="1" s="1"/>
  <c r="E601" i="1"/>
  <c r="G601" i="1" s="1"/>
  <c r="H601" i="1" s="1"/>
  <c r="D602" i="1" s="1"/>
  <c r="J601" i="1"/>
  <c r="I602" i="1" l="1"/>
  <c r="K602" i="1" s="1"/>
  <c r="E602" i="1"/>
  <c r="G602" i="1" s="1"/>
  <c r="H602" i="1" s="1"/>
  <c r="D603" i="1" s="1"/>
  <c r="I603" i="1" l="1"/>
  <c r="K603" i="1" s="1"/>
  <c r="E603" i="1"/>
  <c r="G603" i="1" s="1"/>
  <c r="H603" i="1" s="1"/>
  <c r="D604" i="1" s="1"/>
  <c r="J602" i="1"/>
  <c r="E604" i="1" l="1"/>
  <c r="G604" i="1" s="1"/>
  <c r="I604" i="1"/>
  <c r="K604" i="1" s="1"/>
  <c r="J604" i="1"/>
  <c r="J603" i="1"/>
  <c r="H604" i="1" l="1"/>
  <c r="D605" i="1" s="1"/>
  <c r="I605" i="1" l="1"/>
  <c r="K605" i="1" s="1"/>
  <c r="E605" i="1"/>
  <c r="G605" i="1" s="1"/>
  <c r="H605" i="1" s="1"/>
  <c r="D606" i="1" s="1"/>
  <c r="E606" i="1" l="1"/>
  <c r="G606" i="1" s="1"/>
  <c r="I606" i="1"/>
  <c r="K606" i="1" s="1"/>
  <c r="J606" i="1"/>
  <c r="J605" i="1"/>
  <c r="H606" i="1" l="1"/>
  <c r="D607" i="1" s="1"/>
  <c r="E607" i="1" l="1"/>
  <c r="G607" i="1" s="1"/>
  <c r="I607" i="1"/>
  <c r="K607" i="1" s="1"/>
  <c r="J607" i="1"/>
  <c r="H607" i="1" l="1"/>
  <c r="D608" i="1" s="1"/>
  <c r="E608" i="1" l="1"/>
  <c r="G608" i="1" s="1"/>
  <c r="I608" i="1"/>
  <c r="K608" i="1" s="1"/>
  <c r="J608" i="1"/>
  <c r="H608" i="1" l="1"/>
  <c r="D609" i="1" s="1"/>
  <c r="E609" i="1" l="1"/>
  <c r="G609" i="1" s="1"/>
  <c r="I609" i="1"/>
  <c r="K609" i="1" s="1"/>
  <c r="J609" i="1"/>
  <c r="H609" i="1" l="1"/>
  <c r="D610" i="1" s="1"/>
  <c r="E610" i="1" l="1"/>
  <c r="G610" i="1" s="1"/>
  <c r="I610" i="1"/>
  <c r="K610" i="1" s="1"/>
  <c r="J610" i="1"/>
  <c r="H610" i="1" l="1"/>
  <c r="D611" i="1" s="1"/>
  <c r="E611" i="1" l="1"/>
  <c r="G611" i="1" s="1"/>
  <c r="I611" i="1"/>
  <c r="K611" i="1" s="1"/>
  <c r="J611" i="1"/>
  <c r="H611" i="1" l="1"/>
  <c r="D612" i="1" s="1"/>
  <c r="E612" i="1" l="1"/>
  <c r="G612" i="1" s="1"/>
  <c r="I612" i="1"/>
  <c r="K612" i="1" s="1"/>
  <c r="J612" i="1"/>
  <c r="H612" i="1" l="1"/>
  <c r="D613" i="1" s="1"/>
  <c r="I613" i="1" l="1"/>
  <c r="K613" i="1" s="1"/>
  <c r="E613" i="1"/>
  <c r="G613" i="1" s="1"/>
  <c r="H613" i="1" s="1"/>
  <c r="D614" i="1" s="1"/>
  <c r="E614" i="1" l="1"/>
  <c r="G614" i="1" s="1"/>
  <c r="I614" i="1"/>
  <c r="K614" i="1" s="1"/>
  <c r="J614" i="1"/>
  <c r="J613" i="1"/>
  <c r="H614" i="1" l="1"/>
  <c r="D615" i="1" s="1"/>
  <c r="I615" i="1" l="1"/>
  <c r="K615" i="1" s="1"/>
  <c r="E615" i="1"/>
  <c r="G615" i="1" s="1"/>
  <c r="H615" i="1" s="1"/>
  <c r="D616" i="1" s="1"/>
  <c r="I616" i="1" l="1"/>
  <c r="K616" i="1" s="1"/>
  <c r="H12" i="1" s="1"/>
  <c r="K11" i="1" s="1"/>
  <c r="E616" i="1"/>
  <c r="G616" i="1" s="1"/>
  <c r="J615" i="1"/>
  <c r="J616" i="1" l="1"/>
  <c r="H616" i="1"/>
  <c r="H10" i="1" s="1"/>
</calcChain>
</file>

<file path=xl/sharedStrings.xml><?xml version="1.0" encoding="utf-8"?>
<sst xmlns="http://schemas.openxmlformats.org/spreadsheetml/2006/main" count="32" uniqueCount="31">
  <si>
    <t>#</t>
  </si>
  <si>
    <t>Rahmendaten</t>
  </si>
  <si>
    <t>Zinsatz [%]</t>
  </si>
  <si>
    <t>Laufzeit [Jahren]</t>
  </si>
  <si>
    <t>Kredithöhe</t>
  </si>
  <si>
    <t>Startdatum</t>
  </si>
  <si>
    <t>Berechnungsdaten</t>
  </si>
  <si>
    <t>Anzahl Zahlungen</t>
  </si>
  <si>
    <t>Anz. Sonderzahlungen</t>
  </si>
  <si>
    <t>Sonderzahlung ges.</t>
  </si>
  <si>
    <t>Zinsen ges.</t>
  </si>
  <si>
    <t>Monatliche Belastung</t>
  </si>
  <si>
    <t>Enddaten</t>
  </si>
  <si>
    <t>Enddatum</t>
  </si>
  <si>
    <t>Zahldatum</t>
  </si>
  <si>
    <t>Startsaldo</t>
  </si>
  <si>
    <t>Sonderzahlung</t>
  </si>
  <si>
    <t>Zahlung gesamt</t>
  </si>
  <si>
    <t>Zinsleistung</t>
  </si>
  <si>
    <t>offen</t>
  </si>
  <si>
    <t>aufgelaufene Zinsen</t>
  </si>
  <si>
    <t xml:space="preserve">Planmässige Zahlung </t>
  </si>
  <si>
    <t>Laufzeit zus. Monate</t>
  </si>
  <si>
    <t>Tilgungssatz</t>
  </si>
  <si>
    <t>eff. Zinssatz</t>
  </si>
  <si>
    <t>Tilgung</t>
  </si>
  <si>
    <t>Restschuld</t>
  </si>
  <si>
    <t>Anz. Zahlungen nach Sondertilgung</t>
  </si>
  <si>
    <t>Enddatum nach Sondertilgung</t>
  </si>
  <si>
    <t>Zahlung Ultimo</t>
  </si>
  <si>
    <r>
      <t>Ogli's kleiner Kreditrechner</t>
    </r>
    <r>
      <rPr>
        <b/>
        <sz val="8"/>
        <color theme="1"/>
        <rFont val="Calibri"/>
        <family val="2"/>
        <scheme val="minor"/>
      </rPr>
      <t xml:space="preserve"> (Passwort: kredit)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</si>
</sst>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/>
      </bottom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Protection="1"/>
    <xf numFmtId="14" fontId="0" fillId="0" borderId="0" xfId="0" applyNumberFormat="1" applyProtection="1"/>
    <xf numFmtId="164" fontId="0" fillId="0" borderId="0" xfId="0" applyNumberFormat="1" applyAlignment="1" applyProtection="1">
      <alignment horizontal="right"/>
    </xf>
    <xf numFmtId="164" fontId="0" fillId="0" borderId="0" xfId="0" applyNumberFormat="1" applyProtection="1"/>
    <xf numFmtId="0" fontId="3" fillId="4" borderId="0" xfId="2" applyFont="1" applyFill="1" applyBorder="1" applyAlignment="1" applyProtection="1">
      <alignment horizontal="left"/>
    </xf>
    <xf numFmtId="0" fontId="3" fillId="4" borderId="0" xfId="2" applyFont="1" applyFill="1" applyBorder="1" applyAlignment="1" applyProtection="1">
      <alignment horizontal="center"/>
    </xf>
    <xf numFmtId="10" fontId="3" fillId="4" borderId="0" xfId="2" applyNumberFormat="1" applyFont="1" applyFill="1" applyBorder="1" applyAlignment="1" applyProtection="1">
      <alignment horizontal="center"/>
    </xf>
    <xf numFmtId="0" fontId="3" fillId="4" borderId="1" xfId="2" applyFont="1" applyFill="1" applyBorder="1" applyAlignment="1" applyProtection="1">
      <alignment horizontal="left"/>
    </xf>
    <xf numFmtId="164" fontId="0" fillId="0" borderId="0" xfId="0" applyNumberFormat="1" applyProtection="1">
      <protection locked="0"/>
    </xf>
    <xf numFmtId="0" fontId="8" fillId="4" borderId="3" xfId="2" applyFont="1" applyFill="1" applyBorder="1" applyAlignment="1" applyProtection="1">
      <alignment horizontal="center"/>
      <protection hidden="1"/>
    </xf>
    <xf numFmtId="1" fontId="3" fillId="4" borderId="1" xfId="2" applyNumberFormat="1" applyFont="1" applyFill="1" applyBorder="1" applyAlignment="1" applyProtection="1">
      <alignment horizontal="center"/>
    </xf>
    <xf numFmtId="0" fontId="3" fillId="4" borderId="5" xfId="2" applyFont="1" applyFill="1" applyBorder="1" applyAlignment="1" applyProtection="1">
      <alignment horizontal="right"/>
      <protection locked="0"/>
    </xf>
    <xf numFmtId="0" fontId="3" fillId="4" borderId="2" xfId="2" applyFont="1" applyFill="1" applyBorder="1" applyAlignment="1" applyProtection="1">
      <alignment horizontal="right"/>
      <protection locked="0"/>
    </xf>
    <xf numFmtId="0" fontId="3" fillId="4" borderId="1" xfId="2" applyFont="1" applyFill="1" applyBorder="1" applyAlignment="1" applyProtection="1">
      <alignment horizontal="center"/>
    </xf>
    <xf numFmtId="10" fontId="3" fillId="4" borderId="3" xfId="2" applyNumberFormat="1" applyFont="1" applyFill="1" applyBorder="1" applyAlignment="1" applyProtection="1">
      <alignment horizontal="center"/>
    </xf>
    <xf numFmtId="10" fontId="3" fillId="4" borderId="1" xfId="2" applyNumberFormat="1" applyFont="1" applyFill="1" applyBorder="1" applyAlignment="1" applyProtection="1">
      <alignment horizontal="center"/>
    </xf>
    <xf numFmtId="14" fontId="0" fillId="0" borderId="3" xfId="0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164" fontId="3" fillId="4" borderId="2" xfId="2" applyNumberFormat="1" applyFont="1" applyFill="1" applyBorder="1" applyAlignment="1" applyProtection="1">
      <alignment horizontal="center"/>
    </xf>
    <xf numFmtId="10" fontId="3" fillId="4" borderId="2" xfId="2" applyNumberFormat="1" applyFont="1" applyFill="1" applyBorder="1" applyAlignment="1" applyProtection="1">
      <alignment horizontal="right"/>
      <protection locked="0"/>
    </xf>
    <xf numFmtId="1" fontId="3" fillId="4" borderId="2" xfId="2" applyNumberFormat="1" applyFont="1" applyFill="1" applyBorder="1" applyAlignment="1" applyProtection="1">
      <alignment horizontal="right"/>
      <protection locked="0"/>
    </xf>
    <xf numFmtId="14" fontId="3" fillId="4" borderId="2" xfId="2" applyNumberFormat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center" vertical="center" textRotation="90"/>
    </xf>
    <xf numFmtId="0" fontId="5" fillId="3" borderId="2" xfId="1" applyFont="1" applyFill="1" applyAlignment="1" applyProtection="1">
      <alignment horizontal="center" vertical="center" textRotation="90"/>
    </xf>
    <xf numFmtId="164" fontId="3" fillId="4" borderId="2" xfId="2" applyNumberFormat="1" applyFont="1" applyFill="1" applyBorder="1" applyAlignment="1" applyProtection="1">
      <alignment horizontal="right"/>
      <protection locked="0"/>
    </xf>
    <xf numFmtId="0" fontId="3" fillId="4" borderId="4" xfId="2" applyFont="1" applyFill="1" applyBorder="1" applyAlignment="1" applyProtection="1">
      <alignment horizontal="left"/>
    </xf>
    <xf numFmtId="0" fontId="3" fillId="4" borderId="2" xfId="2" applyFont="1" applyFill="1" applyBorder="1" applyAlignment="1" applyProtection="1">
      <alignment horizontal="left"/>
    </xf>
    <xf numFmtId="164" fontId="3" fillId="4" borderId="4" xfId="2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3" fillId="4" borderId="1" xfId="2" applyFont="1" applyFill="1" applyBorder="1" applyAlignment="1" applyProtection="1">
      <alignment horizontal="left"/>
    </xf>
    <xf numFmtId="0" fontId="3" fillId="4" borderId="1" xfId="2" applyFont="1" applyFill="1" applyBorder="1" applyAlignment="1" applyProtection="1">
      <alignment horizontal="left" wrapText="1"/>
    </xf>
    <xf numFmtId="0" fontId="3" fillId="4" borderId="3" xfId="2" applyFont="1" applyFill="1" applyBorder="1" applyAlignment="1" applyProtection="1">
      <alignment horizontal="left"/>
    </xf>
    <xf numFmtId="1" fontId="3" fillId="4" borderId="2" xfId="2" applyNumberFormat="1" applyFont="1" applyFill="1" applyBorder="1" applyAlignment="1" applyProtection="1">
      <alignment horizontal="center"/>
    </xf>
    <xf numFmtId="14" fontId="3" fillId="4" borderId="1" xfId="2" applyNumberFormat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center" vertical="center" textRotation="90"/>
    </xf>
    <xf numFmtId="0" fontId="6" fillId="3" borderId="2" xfId="1" applyFont="1" applyFill="1" applyAlignment="1" applyProtection="1">
      <alignment horizontal="center" vertical="center" textRotation="90"/>
    </xf>
    <xf numFmtId="0" fontId="3" fillId="4" borderId="2" xfId="2" applyFont="1" applyFill="1" applyBorder="1" applyAlignment="1" applyProtection="1">
      <alignment horizontal="left" shrinkToFit="1"/>
    </xf>
    <xf numFmtId="0" fontId="3" fillId="4" borderId="4" xfId="2" applyFont="1" applyFill="1" applyBorder="1" applyAlignment="1" applyProtection="1">
      <alignment horizontal="left" shrinkToFit="1"/>
    </xf>
  </cellXfs>
  <cellStyles count="3">
    <cellStyle name="20 % - Akzent6" xfId="2" builtinId="50"/>
    <cellStyle name="Standard" xfId="0" builtinId="0"/>
    <cellStyle name="Überschrift 2" xfId="1" builtinId="17"/>
  </cellStyles>
  <dxfs count="12">
    <dxf>
      <numFmt numFmtId="164" formatCode="#,##0.00\ &quot;€&quot;"/>
      <protection locked="1" hidden="0"/>
    </dxf>
    <dxf>
      <numFmt numFmtId="164" formatCode="#,##0.00\ &quot;€&quot;"/>
      <alignment horizontal="right" vertical="bottom" textRotation="0" wrapText="0" indent="0" justifyLastLine="0" shrinkToFit="0" readingOrder="0"/>
      <protection locked="1" hidden="0"/>
    </dxf>
    <dxf>
      <numFmt numFmtId="164" formatCode="#,##0.00\ &quot;€&quot;"/>
      <protection locked="1" hidden="0"/>
    </dxf>
    <dxf>
      <numFmt numFmtId="164" formatCode="#,##0.00\ &quot;€&quot;"/>
      <protection locked="1" hidden="0"/>
    </dxf>
    <dxf>
      <numFmt numFmtId="164" formatCode="#,##0.00\ &quot;€&quot;"/>
      <alignment horizontal="right" vertical="bottom" textRotation="0" wrapText="0" indent="0" justifyLastLine="0" shrinkToFit="0" readingOrder="0"/>
      <protection locked="1" hidden="0"/>
    </dxf>
    <dxf>
      <numFmt numFmtId="164" formatCode="#,##0.00\ &quot;€&quot;"/>
      <protection locked="0" hidden="0"/>
    </dxf>
    <dxf>
      <numFmt numFmtId="164" formatCode="#,##0.00\ &quot;€&quot;"/>
      <protection locked="1" hidden="0"/>
    </dxf>
    <dxf>
      <numFmt numFmtId="164" formatCode="#,##0.00\ &quot;€&quot;"/>
      <alignment horizontal="right" vertical="bottom" textRotation="0" wrapText="0" indent="0" justifyLastLine="0" shrinkToFit="0" readingOrder="0"/>
      <protection locked="1" hidden="0"/>
    </dxf>
    <dxf>
      <numFmt numFmtId="19" formatCode="dd/mm/yyyy"/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DE"/>
              <a:t>Verhältnis zwischen Zinsen und Tilgung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Tilgung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Berechnungen!$C$16:$C$616</c:f>
              <c:numCache>
                <c:formatCode>m/d/yyyy</c:formatCode>
                <c:ptCount val="601"/>
                <c:pt idx="0">
                  <c:v>43281</c:v>
                </c:pt>
                <c:pt idx="1">
                  <c:v>43312</c:v>
                </c:pt>
                <c:pt idx="2">
                  <c:v>43343</c:v>
                </c:pt>
                <c:pt idx="3">
                  <c:v>43373</c:v>
                </c:pt>
                <c:pt idx="4">
                  <c:v>43404</c:v>
                </c:pt>
                <c:pt idx="5">
                  <c:v>43434</c:v>
                </c:pt>
                <c:pt idx="6">
                  <c:v>43465</c:v>
                </c:pt>
                <c:pt idx="7">
                  <c:v>43496</c:v>
                </c:pt>
                <c:pt idx="8">
                  <c:v>43524</c:v>
                </c:pt>
                <c:pt idx="9">
                  <c:v>43555</c:v>
                </c:pt>
                <c:pt idx="10">
                  <c:v>43585</c:v>
                </c:pt>
                <c:pt idx="11">
                  <c:v>43616</c:v>
                </c:pt>
                <c:pt idx="12">
                  <c:v>43646</c:v>
                </c:pt>
                <c:pt idx="13">
                  <c:v>43677</c:v>
                </c:pt>
                <c:pt idx="14">
                  <c:v>43708</c:v>
                </c:pt>
                <c:pt idx="15">
                  <c:v>43738</c:v>
                </c:pt>
                <c:pt idx="16">
                  <c:v>43769</c:v>
                </c:pt>
                <c:pt idx="17">
                  <c:v>43799</c:v>
                </c:pt>
                <c:pt idx="18">
                  <c:v>43830</c:v>
                </c:pt>
                <c:pt idx="19">
                  <c:v>43861</c:v>
                </c:pt>
                <c:pt idx="20">
                  <c:v>43890</c:v>
                </c:pt>
                <c:pt idx="21">
                  <c:v>43921</c:v>
                </c:pt>
                <c:pt idx="22">
                  <c:v>43951</c:v>
                </c:pt>
                <c:pt idx="23">
                  <c:v>43982</c:v>
                </c:pt>
                <c:pt idx="24">
                  <c:v>44012</c:v>
                </c:pt>
                <c:pt idx="25">
                  <c:v>44043</c:v>
                </c:pt>
                <c:pt idx="26">
                  <c:v>44074</c:v>
                </c:pt>
                <c:pt idx="27">
                  <c:v>44104</c:v>
                </c:pt>
                <c:pt idx="28">
                  <c:v>44135</c:v>
                </c:pt>
                <c:pt idx="29">
                  <c:v>44165</c:v>
                </c:pt>
                <c:pt idx="30">
                  <c:v>44196</c:v>
                </c:pt>
                <c:pt idx="31">
                  <c:v>44227</c:v>
                </c:pt>
                <c:pt idx="32">
                  <c:v>44255</c:v>
                </c:pt>
                <c:pt idx="33">
                  <c:v>44286</c:v>
                </c:pt>
                <c:pt idx="34">
                  <c:v>44316</c:v>
                </c:pt>
                <c:pt idx="35">
                  <c:v>44347</c:v>
                </c:pt>
                <c:pt idx="36">
                  <c:v>44377</c:v>
                </c:pt>
                <c:pt idx="37">
                  <c:v>44408</c:v>
                </c:pt>
                <c:pt idx="38">
                  <c:v>44439</c:v>
                </c:pt>
                <c:pt idx="39">
                  <c:v>44469</c:v>
                </c:pt>
                <c:pt idx="40">
                  <c:v>44500</c:v>
                </c:pt>
                <c:pt idx="41">
                  <c:v>44530</c:v>
                </c:pt>
                <c:pt idx="42">
                  <c:v>44561</c:v>
                </c:pt>
                <c:pt idx="43">
                  <c:v>44592</c:v>
                </c:pt>
                <c:pt idx="44">
                  <c:v>44620</c:v>
                </c:pt>
                <c:pt idx="45">
                  <c:v>44651</c:v>
                </c:pt>
                <c:pt idx="46">
                  <c:v>44681</c:v>
                </c:pt>
                <c:pt idx="47">
                  <c:v>44712</c:v>
                </c:pt>
                <c:pt idx="48">
                  <c:v>44742</c:v>
                </c:pt>
                <c:pt idx="49">
                  <c:v>44773</c:v>
                </c:pt>
                <c:pt idx="50">
                  <c:v>44804</c:v>
                </c:pt>
                <c:pt idx="51">
                  <c:v>44834</c:v>
                </c:pt>
                <c:pt idx="52">
                  <c:v>44865</c:v>
                </c:pt>
                <c:pt idx="53">
                  <c:v>44895</c:v>
                </c:pt>
                <c:pt idx="54">
                  <c:v>44926</c:v>
                </c:pt>
                <c:pt idx="55">
                  <c:v>44957</c:v>
                </c:pt>
                <c:pt idx="56">
                  <c:v>44985</c:v>
                </c:pt>
                <c:pt idx="57">
                  <c:v>45016</c:v>
                </c:pt>
                <c:pt idx="58">
                  <c:v>45046</c:v>
                </c:pt>
                <c:pt idx="59">
                  <c:v>45077</c:v>
                </c:pt>
                <c:pt idx="60">
                  <c:v>45107</c:v>
                </c:pt>
                <c:pt idx="61">
                  <c:v>45138</c:v>
                </c:pt>
                <c:pt idx="62">
                  <c:v>45169</c:v>
                </c:pt>
                <c:pt idx="63">
                  <c:v>45199</c:v>
                </c:pt>
                <c:pt idx="64">
                  <c:v>45230</c:v>
                </c:pt>
                <c:pt idx="65">
                  <c:v>45260</c:v>
                </c:pt>
                <c:pt idx="66">
                  <c:v>45291</c:v>
                </c:pt>
                <c:pt idx="67">
                  <c:v>45322</c:v>
                </c:pt>
                <c:pt idx="68">
                  <c:v>45351</c:v>
                </c:pt>
                <c:pt idx="69">
                  <c:v>45382</c:v>
                </c:pt>
                <c:pt idx="70">
                  <c:v>45412</c:v>
                </c:pt>
                <c:pt idx="71">
                  <c:v>45443</c:v>
                </c:pt>
                <c:pt idx="72">
                  <c:v>45473</c:v>
                </c:pt>
                <c:pt idx="73">
                  <c:v>45504</c:v>
                </c:pt>
                <c:pt idx="74">
                  <c:v>45535</c:v>
                </c:pt>
                <c:pt idx="75">
                  <c:v>45565</c:v>
                </c:pt>
                <c:pt idx="76">
                  <c:v>45596</c:v>
                </c:pt>
                <c:pt idx="77">
                  <c:v>45626</c:v>
                </c:pt>
                <c:pt idx="78">
                  <c:v>45657</c:v>
                </c:pt>
                <c:pt idx="79">
                  <c:v>45688</c:v>
                </c:pt>
                <c:pt idx="80">
                  <c:v>45716</c:v>
                </c:pt>
                <c:pt idx="81">
                  <c:v>45747</c:v>
                </c:pt>
                <c:pt idx="82">
                  <c:v>45777</c:v>
                </c:pt>
                <c:pt idx="83">
                  <c:v>45808</c:v>
                </c:pt>
                <c:pt idx="84">
                  <c:v>45838</c:v>
                </c:pt>
                <c:pt idx="85">
                  <c:v>45869</c:v>
                </c:pt>
                <c:pt idx="86">
                  <c:v>45900</c:v>
                </c:pt>
                <c:pt idx="87">
                  <c:v>45930</c:v>
                </c:pt>
                <c:pt idx="88">
                  <c:v>45961</c:v>
                </c:pt>
                <c:pt idx="89">
                  <c:v>45991</c:v>
                </c:pt>
                <c:pt idx="90">
                  <c:v>46022</c:v>
                </c:pt>
                <c:pt idx="91">
                  <c:v>46053</c:v>
                </c:pt>
                <c:pt idx="92">
                  <c:v>46081</c:v>
                </c:pt>
                <c:pt idx="93">
                  <c:v>46112</c:v>
                </c:pt>
                <c:pt idx="94">
                  <c:v>46142</c:v>
                </c:pt>
                <c:pt idx="95">
                  <c:v>46173</c:v>
                </c:pt>
                <c:pt idx="96">
                  <c:v>46203</c:v>
                </c:pt>
                <c:pt idx="97">
                  <c:v>46234</c:v>
                </c:pt>
                <c:pt idx="98">
                  <c:v>46265</c:v>
                </c:pt>
                <c:pt idx="99">
                  <c:v>46295</c:v>
                </c:pt>
                <c:pt idx="100">
                  <c:v>46326</c:v>
                </c:pt>
                <c:pt idx="101">
                  <c:v>46356</c:v>
                </c:pt>
                <c:pt idx="102">
                  <c:v>46387</c:v>
                </c:pt>
                <c:pt idx="103">
                  <c:v>46418</c:v>
                </c:pt>
                <c:pt idx="104">
                  <c:v>46446</c:v>
                </c:pt>
                <c:pt idx="105">
                  <c:v>46477</c:v>
                </c:pt>
                <c:pt idx="106">
                  <c:v>46507</c:v>
                </c:pt>
                <c:pt idx="107">
                  <c:v>46538</c:v>
                </c:pt>
                <c:pt idx="108">
                  <c:v>46568</c:v>
                </c:pt>
                <c:pt idx="109">
                  <c:v>46599</c:v>
                </c:pt>
                <c:pt idx="110">
                  <c:v>46630</c:v>
                </c:pt>
                <c:pt idx="111">
                  <c:v>46660</c:v>
                </c:pt>
                <c:pt idx="112">
                  <c:v>46691</c:v>
                </c:pt>
                <c:pt idx="113">
                  <c:v>46721</c:v>
                </c:pt>
                <c:pt idx="114">
                  <c:v>46752</c:v>
                </c:pt>
                <c:pt idx="115">
                  <c:v>46783</c:v>
                </c:pt>
                <c:pt idx="116">
                  <c:v>46812</c:v>
                </c:pt>
                <c:pt idx="117">
                  <c:v>46843</c:v>
                </c:pt>
                <c:pt idx="118">
                  <c:v>46873</c:v>
                </c:pt>
                <c:pt idx="119">
                  <c:v>46904</c:v>
                </c:pt>
                <c:pt idx="120">
                  <c:v>46934</c:v>
                </c:pt>
                <c:pt idx="121">
                  <c:v>46965</c:v>
                </c:pt>
                <c:pt idx="122">
                  <c:v>46996</c:v>
                </c:pt>
                <c:pt idx="123">
                  <c:v>47026</c:v>
                </c:pt>
                <c:pt idx="124">
                  <c:v>47057</c:v>
                </c:pt>
                <c:pt idx="125">
                  <c:v>47087</c:v>
                </c:pt>
                <c:pt idx="126">
                  <c:v>47118</c:v>
                </c:pt>
                <c:pt idx="127">
                  <c:v>47149</c:v>
                </c:pt>
                <c:pt idx="128">
                  <c:v>47177</c:v>
                </c:pt>
                <c:pt idx="129">
                  <c:v>47208</c:v>
                </c:pt>
                <c:pt idx="130">
                  <c:v>47238</c:v>
                </c:pt>
                <c:pt idx="131">
                  <c:v>47269</c:v>
                </c:pt>
                <c:pt idx="132">
                  <c:v>47299</c:v>
                </c:pt>
                <c:pt idx="133">
                  <c:v>47330</c:v>
                </c:pt>
                <c:pt idx="134">
                  <c:v>47361</c:v>
                </c:pt>
                <c:pt idx="135">
                  <c:v>47391</c:v>
                </c:pt>
                <c:pt idx="136">
                  <c:v>47422</c:v>
                </c:pt>
                <c:pt idx="137">
                  <c:v>47452</c:v>
                </c:pt>
                <c:pt idx="138">
                  <c:v>47483</c:v>
                </c:pt>
                <c:pt idx="139">
                  <c:v>47514</c:v>
                </c:pt>
                <c:pt idx="140">
                  <c:v>47542</c:v>
                </c:pt>
                <c:pt idx="141">
                  <c:v>47573</c:v>
                </c:pt>
                <c:pt idx="142">
                  <c:v>47603</c:v>
                </c:pt>
                <c:pt idx="143">
                  <c:v>47634</c:v>
                </c:pt>
                <c:pt idx="144">
                  <c:v>47664</c:v>
                </c:pt>
                <c:pt idx="145">
                  <c:v>47695</c:v>
                </c:pt>
                <c:pt idx="146">
                  <c:v>47726</c:v>
                </c:pt>
                <c:pt idx="147">
                  <c:v>47756</c:v>
                </c:pt>
                <c:pt idx="148">
                  <c:v>47787</c:v>
                </c:pt>
                <c:pt idx="149">
                  <c:v>47817</c:v>
                </c:pt>
                <c:pt idx="150">
                  <c:v>47848</c:v>
                </c:pt>
                <c:pt idx="151">
                  <c:v>47879</c:v>
                </c:pt>
                <c:pt idx="152">
                  <c:v>47907</c:v>
                </c:pt>
                <c:pt idx="153">
                  <c:v>47938</c:v>
                </c:pt>
                <c:pt idx="154">
                  <c:v>47968</c:v>
                </c:pt>
                <c:pt idx="155">
                  <c:v>47999</c:v>
                </c:pt>
                <c:pt idx="156">
                  <c:v>48029</c:v>
                </c:pt>
                <c:pt idx="157">
                  <c:v>48060</c:v>
                </c:pt>
                <c:pt idx="158">
                  <c:v>48091</c:v>
                </c:pt>
                <c:pt idx="159">
                  <c:v>48121</c:v>
                </c:pt>
                <c:pt idx="160">
                  <c:v>48152</c:v>
                </c:pt>
                <c:pt idx="161">
                  <c:v>48182</c:v>
                </c:pt>
                <c:pt idx="162">
                  <c:v>48213</c:v>
                </c:pt>
                <c:pt idx="163">
                  <c:v>48244</c:v>
                </c:pt>
                <c:pt idx="164">
                  <c:v>48273</c:v>
                </c:pt>
                <c:pt idx="165">
                  <c:v>48304</c:v>
                </c:pt>
                <c:pt idx="166">
                  <c:v>48334</c:v>
                </c:pt>
                <c:pt idx="167">
                  <c:v>48365</c:v>
                </c:pt>
                <c:pt idx="168">
                  <c:v>48395</c:v>
                </c:pt>
                <c:pt idx="169">
                  <c:v>48426</c:v>
                </c:pt>
                <c:pt idx="170">
                  <c:v>48457</c:v>
                </c:pt>
                <c:pt idx="171">
                  <c:v>48487</c:v>
                </c:pt>
                <c:pt idx="172">
                  <c:v>48518</c:v>
                </c:pt>
                <c:pt idx="173">
                  <c:v>48548</c:v>
                </c:pt>
                <c:pt idx="174">
                  <c:v>48579</c:v>
                </c:pt>
                <c:pt idx="175">
                  <c:v>48610</c:v>
                </c:pt>
                <c:pt idx="176">
                  <c:v>48638</c:v>
                </c:pt>
                <c:pt idx="177">
                  <c:v>48669</c:v>
                </c:pt>
                <c:pt idx="178">
                  <c:v>48699</c:v>
                </c:pt>
                <c:pt idx="179">
                  <c:v>48730</c:v>
                </c:pt>
                <c:pt idx="180">
                  <c:v>48760</c:v>
                </c:pt>
                <c:pt idx="181">
                  <c:v>48791</c:v>
                </c:pt>
                <c:pt idx="182">
                  <c:v>48822</c:v>
                </c:pt>
                <c:pt idx="183">
                  <c:v>48852</c:v>
                </c:pt>
                <c:pt idx="184">
                  <c:v>48883</c:v>
                </c:pt>
                <c:pt idx="185">
                  <c:v>48913</c:v>
                </c:pt>
                <c:pt idx="186">
                  <c:v>48944</c:v>
                </c:pt>
                <c:pt idx="187">
                  <c:v>48975</c:v>
                </c:pt>
                <c:pt idx="188">
                  <c:v>49003</c:v>
                </c:pt>
                <c:pt idx="189">
                  <c:v>49034</c:v>
                </c:pt>
                <c:pt idx="190">
                  <c:v>49064</c:v>
                </c:pt>
                <c:pt idx="191">
                  <c:v>49095</c:v>
                </c:pt>
                <c:pt idx="192">
                  <c:v>49125</c:v>
                </c:pt>
                <c:pt idx="193">
                  <c:v>49156</c:v>
                </c:pt>
                <c:pt idx="194">
                  <c:v>49187</c:v>
                </c:pt>
                <c:pt idx="195">
                  <c:v>49217</c:v>
                </c:pt>
                <c:pt idx="196">
                  <c:v>49248</c:v>
                </c:pt>
                <c:pt idx="197">
                  <c:v>49278</c:v>
                </c:pt>
                <c:pt idx="198">
                  <c:v>49309</c:v>
                </c:pt>
                <c:pt idx="199">
                  <c:v>49340</c:v>
                </c:pt>
                <c:pt idx="200">
                  <c:v>49368</c:v>
                </c:pt>
                <c:pt idx="201">
                  <c:v>49399</c:v>
                </c:pt>
                <c:pt idx="202">
                  <c:v>49429</c:v>
                </c:pt>
                <c:pt idx="203">
                  <c:v>49460</c:v>
                </c:pt>
                <c:pt idx="204">
                  <c:v>49490</c:v>
                </c:pt>
                <c:pt idx="205">
                  <c:v>49521</c:v>
                </c:pt>
                <c:pt idx="206">
                  <c:v>49552</c:v>
                </c:pt>
                <c:pt idx="207">
                  <c:v>49582</c:v>
                </c:pt>
                <c:pt idx="208">
                  <c:v>49613</c:v>
                </c:pt>
                <c:pt idx="209">
                  <c:v>49643</c:v>
                </c:pt>
                <c:pt idx="210">
                  <c:v>49674</c:v>
                </c:pt>
                <c:pt idx="211">
                  <c:v>49705</c:v>
                </c:pt>
                <c:pt idx="212">
                  <c:v>49734</c:v>
                </c:pt>
                <c:pt idx="213">
                  <c:v>49765</c:v>
                </c:pt>
                <c:pt idx="214">
                  <c:v>49795</c:v>
                </c:pt>
                <c:pt idx="215">
                  <c:v>49826</c:v>
                </c:pt>
                <c:pt idx="216">
                  <c:v>49856</c:v>
                </c:pt>
                <c:pt idx="217">
                  <c:v>49887</c:v>
                </c:pt>
                <c:pt idx="218">
                  <c:v>49918</c:v>
                </c:pt>
                <c:pt idx="219">
                  <c:v>49948</c:v>
                </c:pt>
                <c:pt idx="220">
                  <c:v>49979</c:v>
                </c:pt>
                <c:pt idx="221">
                  <c:v>50009</c:v>
                </c:pt>
                <c:pt idx="222">
                  <c:v>50040</c:v>
                </c:pt>
                <c:pt idx="223">
                  <c:v>50071</c:v>
                </c:pt>
                <c:pt idx="224">
                  <c:v>50099</c:v>
                </c:pt>
                <c:pt idx="225">
                  <c:v>50130</c:v>
                </c:pt>
                <c:pt idx="226">
                  <c:v>50160</c:v>
                </c:pt>
                <c:pt idx="227">
                  <c:v>50191</c:v>
                </c:pt>
                <c:pt idx="228">
                  <c:v>50221</c:v>
                </c:pt>
                <c:pt idx="229">
                  <c:v>50252</c:v>
                </c:pt>
                <c:pt idx="230">
                  <c:v>50283</c:v>
                </c:pt>
                <c:pt idx="231">
                  <c:v>50313</c:v>
                </c:pt>
                <c:pt idx="232">
                  <c:v>50344</c:v>
                </c:pt>
                <c:pt idx="233">
                  <c:v>50374</c:v>
                </c:pt>
                <c:pt idx="234">
                  <c:v>50405</c:v>
                </c:pt>
                <c:pt idx="235">
                  <c:v>50436</c:v>
                </c:pt>
                <c:pt idx="236">
                  <c:v>50464</c:v>
                </c:pt>
                <c:pt idx="237">
                  <c:v>50495</c:v>
                </c:pt>
                <c:pt idx="238">
                  <c:v>50525</c:v>
                </c:pt>
                <c:pt idx="239">
                  <c:v>50556</c:v>
                </c:pt>
                <c:pt idx="240">
                  <c:v>50586</c:v>
                </c:pt>
                <c:pt idx="241">
                  <c:v>50617</c:v>
                </c:pt>
                <c:pt idx="242">
                  <c:v>50648</c:v>
                </c:pt>
                <c:pt idx="243">
                  <c:v>50678</c:v>
                </c:pt>
                <c:pt idx="244">
                  <c:v>50709</c:v>
                </c:pt>
                <c:pt idx="245">
                  <c:v>50739</c:v>
                </c:pt>
                <c:pt idx="246">
                  <c:v>50770</c:v>
                </c:pt>
                <c:pt idx="247">
                  <c:v>50801</c:v>
                </c:pt>
                <c:pt idx="248">
                  <c:v>50829</c:v>
                </c:pt>
                <c:pt idx="249">
                  <c:v>50860</c:v>
                </c:pt>
                <c:pt idx="250">
                  <c:v>50890</c:v>
                </c:pt>
                <c:pt idx="251">
                  <c:v>50921</c:v>
                </c:pt>
                <c:pt idx="252">
                  <c:v>50951</c:v>
                </c:pt>
                <c:pt idx="253">
                  <c:v>50982</c:v>
                </c:pt>
                <c:pt idx="254">
                  <c:v>51013</c:v>
                </c:pt>
                <c:pt idx="255">
                  <c:v>51043</c:v>
                </c:pt>
                <c:pt idx="256">
                  <c:v>51074</c:v>
                </c:pt>
                <c:pt idx="257">
                  <c:v>51104</c:v>
                </c:pt>
                <c:pt idx="258">
                  <c:v>51135</c:v>
                </c:pt>
                <c:pt idx="259">
                  <c:v>51166</c:v>
                </c:pt>
                <c:pt idx="260">
                  <c:v>51195</c:v>
                </c:pt>
                <c:pt idx="261">
                  <c:v>51226</c:v>
                </c:pt>
                <c:pt idx="262">
                  <c:v>51256</c:v>
                </c:pt>
                <c:pt idx="263">
                  <c:v>51287</c:v>
                </c:pt>
                <c:pt idx="264">
                  <c:v>51317</c:v>
                </c:pt>
                <c:pt idx="265">
                  <c:v>51348</c:v>
                </c:pt>
                <c:pt idx="266">
                  <c:v>51379</c:v>
                </c:pt>
                <c:pt idx="267">
                  <c:v>51409</c:v>
                </c:pt>
                <c:pt idx="268">
                  <c:v>51440</c:v>
                </c:pt>
                <c:pt idx="269">
                  <c:v>51470</c:v>
                </c:pt>
                <c:pt idx="270">
                  <c:v>51501</c:v>
                </c:pt>
                <c:pt idx="271">
                  <c:v>51532</c:v>
                </c:pt>
                <c:pt idx="272">
                  <c:v>51560</c:v>
                </c:pt>
                <c:pt idx="273">
                  <c:v>51591</c:v>
                </c:pt>
                <c:pt idx="274">
                  <c:v>51621</c:v>
                </c:pt>
                <c:pt idx="275">
                  <c:v>51652</c:v>
                </c:pt>
                <c:pt idx="276">
                  <c:v>51682</c:v>
                </c:pt>
                <c:pt idx="277">
                  <c:v>51713</c:v>
                </c:pt>
                <c:pt idx="278">
                  <c:v>51744</c:v>
                </c:pt>
                <c:pt idx="279">
                  <c:v>51774</c:v>
                </c:pt>
                <c:pt idx="280">
                  <c:v>51805</c:v>
                </c:pt>
                <c:pt idx="281">
                  <c:v>51835</c:v>
                </c:pt>
                <c:pt idx="282">
                  <c:v>51866</c:v>
                </c:pt>
                <c:pt idx="283">
                  <c:v>51897</c:v>
                </c:pt>
                <c:pt idx="284">
                  <c:v>51925</c:v>
                </c:pt>
                <c:pt idx="285">
                  <c:v>51956</c:v>
                </c:pt>
                <c:pt idx="286">
                  <c:v>51986</c:v>
                </c:pt>
                <c:pt idx="287">
                  <c:v>52017</c:v>
                </c:pt>
                <c:pt idx="288">
                  <c:v>52047</c:v>
                </c:pt>
                <c:pt idx="289">
                  <c:v>52078</c:v>
                </c:pt>
                <c:pt idx="290">
                  <c:v>52109</c:v>
                </c:pt>
                <c:pt idx="291">
                  <c:v>52139</c:v>
                </c:pt>
                <c:pt idx="292">
                  <c:v>52170</c:v>
                </c:pt>
                <c:pt idx="293">
                  <c:v>52200</c:v>
                </c:pt>
                <c:pt idx="294">
                  <c:v>52231</c:v>
                </c:pt>
                <c:pt idx="295">
                  <c:v>52262</c:v>
                </c:pt>
                <c:pt idx="296">
                  <c:v>52290</c:v>
                </c:pt>
                <c:pt idx="297">
                  <c:v>52321</c:v>
                </c:pt>
                <c:pt idx="298">
                  <c:v>52351</c:v>
                </c:pt>
                <c:pt idx="299">
                  <c:v>52382</c:v>
                </c:pt>
                <c:pt idx="300">
                  <c:v>52412</c:v>
                </c:pt>
                <c:pt idx="301">
                  <c:v>52443</c:v>
                </c:pt>
                <c:pt idx="302">
                  <c:v>52474</c:v>
                </c:pt>
                <c:pt idx="303">
                  <c:v>52504</c:v>
                </c:pt>
                <c:pt idx="304">
                  <c:v>52535</c:v>
                </c:pt>
                <c:pt idx="305">
                  <c:v>52565</c:v>
                </c:pt>
                <c:pt idx="306">
                  <c:v>52596</c:v>
                </c:pt>
                <c:pt idx="307">
                  <c:v>52627</c:v>
                </c:pt>
                <c:pt idx="308">
                  <c:v>52656</c:v>
                </c:pt>
                <c:pt idx="309">
                  <c:v>52687</c:v>
                </c:pt>
                <c:pt idx="310">
                  <c:v>52717</c:v>
                </c:pt>
                <c:pt idx="311">
                  <c:v>52748</c:v>
                </c:pt>
                <c:pt idx="312">
                  <c:v>52778</c:v>
                </c:pt>
                <c:pt idx="313">
                  <c:v>43281</c:v>
                </c:pt>
                <c:pt idx="314">
                  <c:v>43281</c:v>
                </c:pt>
                <c:pt idx="315">
                  <c:v>43281</c:v>
                </c:pt>
                <c:pt idx="316">
                  <c:v>43281</c:v>
                </c:pt>
                <c:pt idx="317">
                  <c:v>43281</c:v>
                </c:pt>
                <c:pt idx="318">
                  <c:v>43281</c:v>
                </c:pt>
                <c:pt idx="319">
                  <c:v>43281</c:v>
                </c:pt>
                <c:pt idx="320">
                  <c:v>43281</c:v>
                </c:pt>
                <c:pt idx="321">
                  <c:v>43281</c:v>
                </c:pt>
                <c:pt idx="322">
                  <c:v>43281</c:v>
                </c:pt>
                <c:pt idx="323">
                  <c:v>43281</c:v>
                </c:pt>
                <c:pt idx="324">
                  <c:v>43281</c:v>
                </c:pt>
                <c:pt idx="325">
                  <c:v>43281</c:v>
                </c:pt>
                <c:pt idx="326">
                  <c:v>43281</c:v>
                </c:pt>
                <c:pt idx="327">
                  <c:v>43281</c:v>
                </c:pt>
                <c:pt idx="328">
                  <c:v>43281</c:v>
                </c:pt>
                <c:pt idx="329">
                  <c:v>43281</c:v>
                </c:pt>
                <c:pt idx="330">
                  <c:v>43281</c:v>
                </c:pt>
                <c:pt idx="331">
                  <c:v>43281</c:v>
                </c:pt>
                <c:pt idx="332">
                  <c:v>43281</c:v>
                </c:pt>
                <c:pt idx="333">
                  <c:v>43281</c:v>
                </c:pt>
                <c:pt idx="334">
                  <c:v>43281</c:v>
                </c:pt>
                <c:pt idx="335">
                  <c:v>43281</c:v>
                </c:pt>
                <c:pt idx="336">
                  <c:v>43281</c:v>
                </c:pt>
                <c:pt idx="337">
                  <c:v>43281</c:v>
                </c:pt>
                <c:pt idx="338">
                  <c:v>43281</c:v>
                </c:pt>
                <c:pt idx="339">
                  <c:v>43281</c:v>
                </c:pt>
                <c:pt idx="340">
                  <c:v>43281</c:v>
                </c:pt>
                <c:pt idx="341">
                  <c:v>43281</c:v>
                </c:pt>
                <c:pt idx="342">
                  <c:v>43281</c:v>
                </c:pt>
                <c:pt idx="343">
                  <c:v>43281</c:v>
                </c:pt>
                <c:pt idx="344">
                  <c:v>43281</c:v>
                </c:pt>
                <c:pt idx="345">
                  <c:v>43281</c:v>
                </c:pt>
                <c:pt idx="346">
                  <c:v>43281</c:v>
                </c:pt>
                <c:pt idx="347">
                  <c:v>43281</c:v>
                </c:pt>
                <c:pt idx="348">
                  <c:v>43281</c:v>
                </c:pt>
                <c:pt idx="349">
                  <c:v>43281</c:v>
                </c:pt>
                <c:pt idx="350">
                  <c:v>43281</c:v>
                </c:pt>
                <c:pt idx="351">
                  <c:v>43281</c:v>
                </c:pt>
                <c:pt idx="352">
                  <c:v>43281</c:v>
                </c:pt>
                <c:pt idx="353">
                  <c:v>43281</c:v>
                </c:pt>
                <c:pt idx="354">
                  <c:v>43281</c:v>
                </c:pt>
                <c:pt idx="355">
                  <c:v>43281</c:v>
                </c:pt>
                <c:pt idx="356">
                  <c:v>43281</c:v>
                </c:pt>
                <c:pt idx="357">
                  <c:v>43281</c:v>
                </c:pt>
                <c:pt idx="358">
                  <c:v>43281</c:v>
                </c:pt>
                <c:pt idx="359">
                  <c:v>43281</c:v>
                </c:pt>
                <c:pt idx="360">
                  <c:v>43281</c:v>
                </c:pt>
                <c:pt idx="361">
                  <c:v>43281</c:v>
                </c:pt>
                <c:pt idx="362">
                  <c:v>43281</c:v>
                </c:pt>
                <c:pt idx="363">
                  <c:v>43281</c:v>
                </c:pt>
                <c:pt idx="364">
                  <c:v>43281</c:v>
                </c:pt>
                <c:pt idx="365">
                  <c:v>43281</c:v>
                </c:pt>
                <c:pt idx="366">
                  <c:v>43281</c:v>
                </c:pt>
                <c:pt idx="367">
                  <c:v>43281</c:v>
                </c:pt>
                <c:pt idx="368">
                  <c:v>43281</c:v>
                </c:pt>
                <c:pt idx="369">
                  <c:v>43281</c:v>
                </c:pt>
                <c:pt idx="370">
                  <c:v>43281</c:v>
                </c:pt>
                <c:pt idx="371">
                  <c:v>43281</c:v>
                </c:pt>
                <c:pt idx="372">
                  <c:v>43281</c:v>
                </c:pt>
                <c:pt idx="373">
                  <c:v>43281</c:v>
                </c:pt>
                <c:pt idx="374">
                  <c:v>43281</c:v>
                </c:pt>
                <c:pt idx="375">
                  <c:v>43281</c:v>
                </c:pt>
                <c:pt idx="376">
                  <c:v>43281</c:v>
                </c:pt>
                <c:pt idx="377">
                  <c:v>43281</c:v>
                </c:pt>
                <c:pt idx="378">
                  <c:v>43281</c:v>
                </c:pt>
                <c:pt idx="379">
                  <c:v>43281</c:v>
                </c:pt>
                <c:pt idx="380">
                  <c:v>43281</c:v>
                </c:pt>
                <c:pt idx="381">
                  <c:v>43281</c:v>
                </c:pt>
                <c:pt idx="382">
                  <c:v>43281</c:v>
                </c:pt>
                <c:pt idx="383">
                  <c:v>43281</c:v>
                </c:pt>
                <c:pt idx="384">
                  <c:v>43281</c:v>
                </c:pt>
                <c:pt idx="385">
                  <c:v>43281</c:v>
                </c:pt>
                <c:pt idx="386">
                  <c:v>43281</c:v>
                </c:pt>
                <c:pt idx="387">
                  <c:v>43281</c:v>
                </c:pt>
                <c:pt idx="388">
                  <c:v>43281</c:v>
                </c:pt>
                <c:pt idx="389">
                  <c:v>43281</c:v>
                </c:pt>
                <c:pt idx="390">
                  <c:v>43281</c:v>
                </c:pt>
                <c:pt idx="391">
                  <c:v>43281</c:v>
                </c:pt>
                <c:pt idx="392">
                  <c:v>43281</c:v>
                </c:pt>
                <c:pt idx="393">
                  <c:v>43281</c:v>
                </c:pt>
                <c:pt idx="394">
                  <c:v>43281</c:v>
                </c:pt>
                <c:pt idx="395">
                  <c:v>43281</c:v>
                </c:pt>
                <c:pt idx="396">
                  <c:v>43281</c:v>
                </c:pt>
                <c:pt idx="397">
                  <c:v>43281</c:v>
                </c:pt>
                <c:pt idx="398">
                  <c:v>43281</c:v>
                </c:pt>
                <c:pt idx="399">
                  <c:v>43281</c:v>
                </c:pt>
                <c:pt idx="400">
                  <c:v>43281</c:v>
                </c:pt>
                <c:pt idx="401">
                  <c:v>43281</c:v>
                </c:pt>
                <c:pt idx="402">
                  <c:v>43281</c:v>
                </c:pt>
                <c:pt idx="403">
                  <c:v>43281</c:v>
                </c:pt>
                <c:pt idx="404">
                  <c:v>43281</c:v>
                </c:pt>
                <c:pt idx="405">
                  <c:v>43281</c:v>
                </c:pt>
                <c:pt idx="406">
                  <c:v>43281</c:v>
                </c:pt>
                <c:pt idx="407">
                  <c:v>43281</c:v>
                </c:pt>
                <c:pt idx="408">
                  <c:v>43281</c:v>
                </c:pt>
                <c:pt idx="409">
                  <c:v>43281</c:v>
                </c:pt>
                <c:pt idx="410">
                  <c:v>43281</c:v>
                </c:pt>
                <c:pt idx="411">
                  <c:v>43281</c:v>
                </c:pt>
                <c:pt idx="412">
                  <c:v>43281</c:v>
                </c:pt>
                <c:pt idx="413">
                  <c:v>43281</c:v>
                </c:pt>
                <c:pt idx="414">
                  <c:v>43281</c:v>
                </c:pt>
                <c:pt idx="415">
                  <c:v>43281</c:v>
                </c:pt>
                <c:pt idx="416">
                  <c:v>43281</c:v>
                </c:pt>
                <c:pt idx="417">
                  <c:v>43281</c:v>
                </c:pt>
                <c:pt idx="418">
                  <c:v>43281</c:v>
                </c:pt>
                <c:pt idx="419">
                  <c:v>43281</c:v>
                </c:pt>
                <c:pt idx="420">
                  <c:v>43281</c:v>
                </c:pt>
                <c:pt idx="421">
                  <c:v>43281</c:v>
                </c:pt>
                <c:pt idx="422">
                  <c:v>43281</c:v>
                </c:pt>
                <c:pt idx="423">
                  <c:v>43281</c:v>
                </c:pt>
                <c:pt idx="424">
                  <c:v>43281</c:v>
                </c:pt>
                <c:pt idx="425">
                  <c:v>43281</c:v>
                </c:pt>
                <c:pt idx="426">
                  <c:v>43281</c:v>
                </c:pt>
                <c:pt idx="427">
                  <c:v>43281</c:v>
                </c:pt>
                <c:pt idx="428">
                  <c:v>43281</c:v>
                </c:pt>
                <c:pt idx="429">
                  <c:v>43281</c:v>
                </c:pt>
                <c:pt idx="430">
                  <c:v>43281</c:v>
                </c:pt>
                <c:pt idx="431">
                  <c:v>43281</c:v>
                </c:pt>
                <c:pt idx="432">
                  <c:v>43281</c:v>
                </c:pt>
                <c:pt idx="433">
                  <c:v>43281</c:v>
                </c:pt>
                <c:pt idx="434">
                  <c:v>43281</c:v>
                </c:pt>
                <c:pt idx="435">
                  <c:v>43281</c:v>
                </c:pt>
                <c:pt idx="436">
                  <c:v>43281</c:v>
                </c:pt>
                <c:pt idx="437">
                  <c:v>43281</c:v>
                </c:pt>
                <c:pt idx="438">
                  <c:v>43281</c:v>
                </c:pt>
                <c:pt idx="439">
                  <c:v>43281</c:v>
                </c:pt>
                <c:pt idx="440">
                  <c:v>43281</c:v>
                </c:pt>
                <c:pt idx="441">
                  <c:v>43281</c:v>
                </c:pt>
                <c:pt idx="442">
                  <c:v>43281</c:v>
                </c:pt>
                <c:pt idx="443">
                  <c:v>43281</c:v>
                </c:pt>
                <c:pt idx="444">
                  <c:v>43281</c:v>
                </c:pt>
                <c:pt idx="445">
                  <c:v>43281</c:v>
                </c:pt>
                <c:pt idx="446">
                  <c:v>43281</c:v>
                </c:pt>
                <c:pt idx="447">
                  <c:v>43281</c:v>
                </c:pt>
                <c:pt idx="448">
                  <c:v>43281</c:v>
                </c:pt>
                <c:pt idx="449">
                  <c:v>43281</c:v>
                </c:pt>
                <c:pt idx="450">
                  <c:v>43281</c:v>
                </c:pt>
                <c:pt idx="451">
                  <c:v>43281</c:v>
                </c:pt>
                <c:pt idx="452">
                  <c:v>43281</c:v>
                </c:pt>
                <c:pt idx="453">
                  <c:v>43281</c:v>
                </c:pt>
                <c:pt idx="454">
                  <c:v>43281</c:v>
                </c:pt>
                <c:pt idx="455">
                  <c:v>43281</c:v>
                </c:pt>
                <c:pt idx="456">
                  <c:v>43281</c:v>
                </c:pt>
                <c:pt idx="457">
                  <c:v>43281</c:v>
                </c:pt>
                <c:pt idx="458">
                  <c:v>43281</c:v>
                </c:pt>
                <c:pt idx="459">
                  <c:v>43281</c:v>
                </c:pt>
                <c:pt idx="460">
                  <c:v>43281</c:v>
                </c:pt>
                <c:pt idx="461">
                  <c:v>43281</c:v>
                </c:pt>
                <c:pt idx="462">
                  <c:v>43281</c:v>
                </c:pt>
                <c:pt idx="463">
                  <c:v>43281</c:v>
                </c:pt>
                <c:pt idx="464">
                  <c:v>43281</c:v>
                </c:pt>
                <c:pt idx="465">
                  <c:v>43281</c:v>
                </c:pt>
                <c:pt idx="466">
                  <c:v>43281</c:v>
                </c:pt>
                <c:pt idx="467">
                  <c:v>43281</c:v>
                </c:pt>
                <c:pt idx="468">
                  <c:v>43281</c:v>
                </c:pt>
                <c:pt idx="469">
                  <c:v>43281</c:v>
                </c:pt>
                <c:pt idx="470">
                  <c:v>43281</c:v>
                </c:pt>
                <c:pt idx="471">
                  <c:v>43281</c:v>
                </c:pt>
                <c:pt idx="472">
                  <c:v>43281</c:v>
                </c:pt>
                <c:pt idx="473">
                  <c:v>43281</c:v>
                </c:pt>
                <c:pt idx="474">
                  <c:v>43281</c:v>
                </c:pt>
                <c:pt idx="475">
                  <c:v>43281</c:v>
                </c:pt>
                <c:pt idx="476">
                  <c:v>43281</c:v>
                </c:pt>
                <c:pt idx="477">
                  <c:v>43281</c:v>
                </c:pt>
                <c:pt idx="478">
                  <c:v>43281</c:v>
                </c:pt>
                <c:pt idx="479">
                  <c:v>43281</c:v>
                </c:pt>
                <c:pt idx="480">
                  <c:v>43281</c:v>
                </c:pt>
                <c:pt idx="481">
                  <c:v>43281</c:v>
                </c:pt>
                <c:pt idx="482">
                  <c:v>43281</c:v>
                </c:pt>
                <c:pt idx="483">
                  <c:v>43281</c:v>
                </c:pt>
                <c:pt idx="484">
                  <c:v>43281</c:v>
                </c:pt>
                <c:pt idx="485">
                  <c:v>43281</c:v>
                </c:pt>
                <c:pt idx="486">
                  <c:v>43281</c:v>
                </c:pt>
                <c:pt idx="487">
                  <c:v>43281</c:v>
                </c:pt>
                <c:pt idx="488">
                  <c:v>43281</c:v>
                </c:pt>
                <c:pt idx="489">
                  <c:v>43281</c:v>
                </c:pt>
                <c:pt idx="490">
                  <c:v>43281</c:v>
                </c:pt>
                <c:pt idx="491">
                  <c:v>43281</c:v>
                </c:pt>
                <c:pt idx="492">
                  <c:v>43281</c:v>
                </c:pt>
                <c:pt idx="493">
                  <c:v>43281</c:v>
                </c:pt>
                <c:pt idx="494">
                  <c:v>43281</c:v>
                </c:pt>
                <c:pt idx="495">
                  <c:v>43281</c:v>
                </c:pt>
                <c:pt idx="496">
                  <c:v>43281</c:v>
                </c:pt>
                <c:pt idx="497">
                  <c:v>43281</c:v>
                </c:pt>
                <c:pt idx="498">
                  <c:v>43281</c:v>
                </c:pt>
                <c:pt idx="499">
                  <c:v>43281</c:v>
                </c:pt>
                <c:pt idx="500">
                  <c:v>43281</c:v>
                </c:pt>
                <c:pt idx="501">
                  <c:v>43281</c:v>
                </c:pt>
                <c:pt idx="502">
                  <c:v>43281</c:v>
                </c:pt>
                <c:pt idx="503">
                  <c:v>43281</c:v>
                </c:pt>
                <c:pt idx="504">
                  <c:v>43281</c:v>
                </c:pt>
                <c:pt idx="505">
                  <c:v>43281</c:v>
                </c:pt>
                <c:pt idx="506">
                  <c:v>43281</c:v>
                </c:pt>
                <c:pt idx="507">
                  <c:v>43281</c:v>
                </c:pt>
                <c:pt idx="508">
                  <c:v>43281</c:v>
                </c:pt>
                <c:pt idx="509">
                  <c:v>43281</c:v>
                </c:pt>
                <c:pt idx="510">
                  <c:v>43281</c:v>
                </c:pt>
                <c:pt idx="511">
                  <c:v>43281</c:v>
                </c:pt>
                <c:pt idx="512">
                  <c:v>43281</c:v>
                </c:pt>
                <c:pt idx="513">
                  <c:v>43281</c:v>
                </c:pt>
                <c:pt idx="514">
                  <c:v>43281</c:v>
                </c:pt>
                <c:pt idx="515">
                  <c:v>43281</c:v>
                </c:pt>
                <c:pt idx="516">
                  <c:v>43281</c:v>
                </c:pt>
                <c:pt idx="517">
                  <c:v>43281</c:v>
                </c:pt>
                <c:pt idx="518">
                  <c:v>43281</c:v>
                </c:pt>
                <c:pt idx="519">
                  <c:v>43281</c:v>
                </c:pt>
                <c:pt idx="520">
                  <c:v>43281</c:v>
                </c:pt>
                <c:pt idx="521">
                  <c:v>43281</c:v>
                </c:pt>
                <c:pt idx="522">
                  <c:v>43281</c:v>
                </c:pt>
                <c:pt idx="523">
                  <c:v>43281</c:v>
                </c:pt>
                <c:pt idx="524">
                  <c:v>43281</c:v>
                </c:pt>
                <c:pt idx="525">
                  <c:v>43281</c:v>
                </c:pt>
                <c:pt idx="526">
                  <c:v>43281</c:v>
                </c:pt>
                <c:pt idx="527">
                  <c:v>43281</c:v>
                </c:pt>
                <c:pt idx="528">
                  <c:v>43281</c:v>
                </c:pt>
                <c:pt idx="529">
                  <c:v>43281</c:v>
                </c:pt>
                <c:pt idx="530">
                  <c:v>43281</c:v>
                </c:pt>
                <c:pt idx="531">
                  <c:v>43281</c:v>
                </c:pt>
                <c:pt idx="532">
                  <c:v>43281</c:v>
                </c:pt>
                <c:pt idx="533">
                  <c:v>43281</c:v>
                </c:pt>
                <c:pt idx="534">
                  <c:v>43281</c:v>
                </c:pt>
                <c:pt idx="535">
                  <c:v>43281</c:v>
                </c:pt>
                <c:pt idx="536">
                  <c:v>43281</c:v>
                </c:pt>
                <c:pt idx="537">
                  <c:v>43281</c:v>
                </c:pt>
                <c:pt idx="538">
                  <c:v>43281</c:v>
                </c:pt>
                <c:pt idx="539">
                  <c:v>43281</c:v>
                </c:pt>
                <c:pt idx="540">
                  <c:v>43281</c:v>
                </c:pt>
                <c:pt idx="541">
                  <c:v>43281</c:v>
                </c:pt>
                <c:pt idx="542">
                  <c:v>43281</c:v>
                </c:pt>
                <c:pt idx="543">
                  <c:v>43281</c:v>
                </c:pt>
                <c:pt idx="544">
                  <c:v>43281</c:v>
                </c:pt>
                <c:pt idx="545">
                  <c:v>43281</c:v>
                </c:pt>
                <c:pt idx="546">
                  <c:v>43281</c:v>
                </c:pt>
                <c:pt idx="547">
                  <c:v>43281</c:v>
                </c:pt>
                <c:pt idx="548">
                  <c:v>43281</c:v>
                </c:pt>
                <c:pt idx="549">
                  <c:v>43281</c:v>
                </c:pt>
                <c:pt idx="550">
                  <c:v>43281</c:v>
                </c:pt>
                <c:pt idx="551">
                  <c:v>43281</c:v>
                </c:pt>
                <c:pt idx="552">
                  <c:v>43281</c:v>
                </c:pt>
                <c:pt idx="553">
                  <c:v>43281</c:v>
                </c:pt>
                <c:pt idx="554">
                  <c:v>43281</c:v>
                </c:pt>
                <c:pt idx="555">
                  <c:v>43281</c:v>
                </c:pt>
                <c:pt idx="556">
                  <c:v>43281</c:v>
                </c:pt>
                <c:pt idx="557">
                  <c:v>43281</c:v>
                </c:pt>
                <c:pt idx="558">
                  <c:v>43281</c:v>
                </c:pt>
                <c:pt idx="559">
                  <c:v>43281</c:v>
                </c:pt>
                <c:pt idx="560">
                  <c:v>43281</c:v>
                </c:pt>
                <c:pt idx="561">
                  <c:v>43281</c:v>
                </c:pt>
                <c:pt idx="562">
                  <c:v>43281</c:v>
                </c:pt>
                <c:pt idx="563">
                  <c:v>43281</c:v>
                </c:pt>
                <c:pt idx="564">
                  <c:v>43281</c:v>
                </c:pt>
                <c:pt idx="565">
                  <c:v>43281</c:v>
                </c:pt>
                <c:pt idx="566">
                  <c:v>43281</c:v>
                </c:pt>
                <c:pt idx="567">
                  <c:v>43281</c:v>
                </c:pt>
                <c:pt idx="568">
                  <c:v>43281</c:v>
                </c:pt>
                <c:pt idx="569">
                  <c:v>43281</c:v>
                </c:pt>
                <c:pt idx="570">
                  <c:v>43281</c:v>
                </c:pt>
                <c:pt idx="571">
                  <c:v>43281</c:v>
                </c:pt>
                <c:pt idx="572">
                  <c:v>43281</c:v>
                </c:pt>
                <c:pt idx="573">
                  <c:v>43281</c:v>
                </c:pt>
                <c:pt idx="574">
                  <c:v>43281</c:v>
                </c:pt>
                <c:pt idx="575">
                  <c:v>43281</c:v>
                </c:pt>
                <c:pt idx="576">
                  <c:v>43281</c:v>
                </c:pt>
                <c:pt idx="577">
                  <c:v>43281</c:v>
                </c:pt>
                <c:pt idx="578">
                  <c:v>43281</c:v>
                </c:pt>
                <c:pt idx="579">
                  <c:v>43281</c:v>
                </c:pt>
                <c:pt idx="580">
                  <c:v>43281</c:v>
                </c:pt>
                <c:pt idx="581">
                  <c:v>43281</c:v>
                </c:pt>
                <c:pt idx="582">
                  <c:v>43281</c:v>
                </c:pt>
                <c:pt idx="583">
                  <c:v>43281</c:v>
                </c:pt>
                <c:pt idx="584">
                  <c:v>43281</c:v>
                </c:pt>
                <c:pt idx="585">
                  <c:v>43281</c:v>
                </c:pt>
                <c:pt idx="586">
                  <c:v>43281</c:v>
                </c:pt>
                <c:pt idx="587">
                  <c:v>43281</c:v>
                </c:pt>
                <c:pt idx="588">
                  <c:v>43281</c:v>
                </c:pt>
                <c:pt idx="589">
                  <c:v>43281</c:v>
                </c:pt>
                <c:pt idx="590">
                  <c:v>43281</c:v>
                </c:pt>
                <c:pt idx="591">
                  <c:v>43281</c:v>
                </c:pt>
                <c:pt idx="592">
                  <c:v>43281</c:v>
                </c:pt>
                <c:pt idx="593">
                  <c:v>43281</c:v>
                </c:pt>
                <c:pt idx="594">
                  <c:v>43281</c:v>
                </c:pt>
                <c:pt idx="595">
                  <c:v>43281</c:v>
                </c:pt>
                <c:pt idx="596">
                  <c:v>43281</c:v>
                </c:pt>
                <c:pt idx="597">
                  <c:v>43281</c:v>
                </c:pt>
                <c:pt idx="598">
                  <c:v>43281</c:v>
                </c:pt>
                <c:pt idx="599">
                  <c:v>43281</c:v>
                </c:pt>
                <c:pt idx="600">
                  <c:v>43281</c:v>
                </c:pt>
              </c:numCache>
            </c:numRef>
          </c:cat>
          <c:val>
            <c:numRef>
              <c:f>Berechnungen!$H$16:$H$616</c:f>
              <c:numCache>
                <c:formatCode>#,##0.00\ "€"</c:formatCode>
                <c:ptCount val="601"/>
                <c:pt idx="0">
                  <c:v>243.28907254999075</c:v>
                </c:pt>
                <c:pt idx="1">
                  <c:v>244.30277701894903</c:v>
                </c:pt>
                <c:pt idx="2">
                  <c:v>245.32070525652796</c:v>
                </c:pt>
                <c:pt idx="3">
                  <c:v>246.34287486176351</c:v>
                </c:pt>
                <c:pt idx="4">
                  <c:v>247.36930350702085</c:v>
                </c:pt>
                <c:pt idx="5">
                  <c:v>248.40000893830012</c:v>
                </c:pt>
                <c:pt idx="6">
                  <c:v>249.43500897554298</c:v>
                </c:pt>
                <c:pt idx="7">
                  <c:v>250.47432151294112</c:v>
                </c:pt>
                <c:pt idx="8">
                  <c:v>251.51796451924508</c:v>
                </c:pt>
                <c:pt idx="9">
                  <c:v>252.56595603807529</c:v>
                </c:pt>
                <c:pt idx="10">
                  <c:v>253.61831418823391</c:v>
                </c:pt>
                <c:pt idx="11">
                  <c:v>254.67505716401814</c:v>
                </c:pt>
                <c:pt idx="12">
                  <c:v>255.7362032355349</c:v>
                </c:pt>
                <c:pt idx="13">
                  <c:v>256.80177074901633</c:v>
                </c:pt>
                <c:pt idx="14">
                  <c:v>257.87177812713719</c:v>
                </c:pt>
                <c:pt idx="15">
                  <c:v>258.94624386933367</c:v>
                </c:pt>
                <c:pt idx="16">
                  <c:v>260.02518655212253</c:v>
                </c:pt>
                <c:pt idx="17">
                  <c:v>261.10862482942304</c:v>
                </c:pt>
                <c:pt idx="18">
                  <c:v>262.196577432879</c:v>
                </c:pt>
                <c:pt idx="19">
                  <c:v>263.28906317218264</c:v>
                </c:pt>
                <c:pt idx="20">
                  <c:v>264.38610093540007</c:v>
                </c:pt>
                <c:pt idx="21">
                  <c:v>265.48770968929756</c:v>
                </c:pt>
                <c:pt idx="22">
                  <c:v>266.59390847966966</c:v>
                </c:pt>
                <c:pt idx="23">
                  <c:v>267.70471643166832</c:v>
                </c:pt>
                <c:pt idx="24">
                  <c:v>268.82015275013362</c:v>
                </c:pt>
                <c:pt idx="25">
                  <c:v>269.94023671992585</c:v>
                </c:pt>
                <c:pt idx="26">
                  <c:v>271.06498770625888</c:v>
                </c:pt>
                <c:pt idx="27">
                  <c:v>272.19442515503493</c:v>
                </c:pt>
                <c:pt idx="28">
                  <c:v>273.32856859318088</c:v>
                </c:pt>
                <c:pt idx="29">
                  <c:v>274.46743762898575</c:v>
                </c:pt>
                <c:pt idx="30">
                  <c:v>275.61105195243988</c:v>
                </c:pt>
                <c:pt idx="31">
                  <c:v>276.75943133557502</c:v>
                </c:pt>
                <c:pt idx="32">
                  <c:v>277.91259563280659</c:v>
                </c:pt>
                <c:pt idx="33">
                  <c:v>279.07056478127663</c:v>
                </c:pt>
                <c:pt idx="34">
                  <c:v>280.23335880119868</c:v>
                </c:pt>
                <c:pt idx="35">
                  <c:v>281.40099779620363</c:v>
                </c:pt>
                <c:pt idx="36">
                  <c:v>282.57350195368775</c:v>
                </c:pt>
                <c:pt idx="37">
                  <c:v>283.75089154516144</c:v>
                </c:pt>
                <c:pt idx="38">
                  <c:v>284.9331869265996</c:v>
                </c:pt>
                <c:pt idx="39">
                  <c:v>286.12040853879381</c:v>
                </c:pt>
                <c:pt idx="40">
                  <c:v>287.31257690770542</c:v>
                </c:pt>
                <c:pt idx="41">
                  <c:v>288.50971264482081</c:v>
                </c:pt>
                <c:pt idx="42">
                  <c:v>289.71183644750761</c:v>
                </c:pt>
                <c:pt idx="43">
                  <c:v>290.91896909937219</c:v>
                </c:pt>
                <c:pt idx="44">
                  <c:v>292.13113147061955</c:v>
                </c:pt>
                <c:pt idx="45">
                  <c:v>293.34834451841385</c:v>
                </c:pt>
                <c:pt idx="46">
                  <c:v>294.57062928724048</c:v>
                </c:pt>
                <c:pt idx="47">
                  <c:v>295.79800690927067</c:v>
                </c:pt>
                <c:pt idx="48">
                  <c:v>297.03049860472595</c:v>
                </c:pt>
                <c:pt idx="49">
                  <c:v>298.26812568224562</c:v>
                </c:pt>
                <c:pt idx="50">
                  <c:v>299.51090953925501</c:v>
                </c:pt>
                <c:pt idx="51">
                  <c:v>300.75887166233525</c:v>
                </c:pt>
                <c:pt idx="52">
                  <c:v>302.01203362759492</c:v>
                </c:pt>
                <c:pt idx="53">
                  <c:v>303.27041710104328</c:v>
                </c:pt>
                <c:pt idx="54">
                  <c:v>304.53404383896429</c:v>
                </c:pt>
                <c:pt idx="55">
                  <c:v>305.8029356882933</c:v>
                </c:pt>
                <c:pt idx="56">
                  <c:v>307.07711458699453</c:v>
                </c:pt>
                <c:pt idx="57">
                  <c:v>308.35660256444032</c:v>
                </c:pt>
                <c:pt idx="58">
                  <c:v>309.64142174179216</c:v>
                </c:pt>
                <c:pt idx="59">
                  <c:v>310.93159433238299</c:v>
                </c:pt>
                <c:pt idx="60">
                  <c:v>312.22714264210128</c:v>
                </c:pt>
                <c:pt idx="61">
                  <c:v>313.52808906977668</c:v>
                </c:pt>
                <c:pt idx="62">
                  <c:v>314.83445610756746</c:v>
                </c:pt>
                <c:pt idx="63">
                  <c:v>316.14626634134896</c:v>
                </c:pt>
                <c:pt idx="64">
                  <c:v>317.46354245110462</c:v>
                </c:pt>
                <c:pt idx="65">
                  <c:v>318.78630721131753</c:v>
                </c:pt>
                <c:pt idx="66">
                  <c:v>320.11458349136467</c:v>
                </c:pt>
                <c:pt idx="67">
                  <c:v>321.44839425591198</c:v>
                </c:pt>
                <c:pt idx="68">
                  <c:v>322.78776256531165</c:v>
                </c:pt>
                <c:pt idx="69">
                  <c:v>324.13271157600042</c:v>
                </c:pt>
                <c:pt idx="70">
                  <c:v>325.48326454090045</c:v>
                </c:pt>
                <c:pt idx="71">
                  <c:v>326.83944480982092</c:v>
                </c:pt>
                <c:pt idx="72">
                  <c:v>328.20127582986186</c:v>
                </c:pt>
                <c:pt idx="73">
                  <c:v>329.56878114581963</c:v>
                </c:pt>
                <c:pt idx="74">
                  <c:v>330.94198440059387</c:v>
                </c:pt>
                <c:pt idx="75">
                  <c:v>332.32090933559635</c:v>
                </c:pt>
                <c:pt idx="76">
                  <c:v>333.70557979116131</c:v>
                </c:pt>
                <c:pt idx="77">
                  <c:v>335.0960197069578</c:v>
                </c:pt>
                <c:pt idx="78">
                  <c:v>336.49225312240344</c:v>
                </c:pt>
                <c:pt idx="79">
                  <c:v>337.89430417708007</c:v>
                </c:pt>
                <c:pt idx="80">
                  <c:v>339.30219711115132</c:v>
                </c:pt>
                <c:pt idx="81">
                  <c:v>340.71595626578107</c:v>
                </c:pt>
                <c:pt idx="82">
                  <c:v>342.13560608355516</c:v>
                </c:pt>
                <c:pt idx="83">
                  <c:v>343.56117110890324</c:v>
                </c:pt>
                <c:pt idx="84">
                  <c:v>344.99267598852367</c:v>
                </c:pt>
                <c:pt idx="85">
                  <c:v>346.43014547180923</c:v>
                </c:pt>
                <c:pt idx="86">
                  <c:v>347.8736044112751</c:v>
                </c:pt>
                <c:pt idx="87">
                  <c:v>349.3230777629887</c:v>
                </c:pt>
                <c:pt idx="88">
                  <c:v>350.77859058700119</c:v>
                </c:pt>
                <c:pt idx="89">
                  <c:v>352.24016804778034</c:v>
                </c:pt>
                <c:pt idx="90">
                  <c:v>353.70783541464613</c:v>
                </c:pt>
                <c:pt idx="91">
                  <c:v>355.18161806220712</c:v>
                </c:pt>
                <c:pt idx="92">
                  <c:v>356.6615414707997</c:v>
                </c:pt>
                <c:pt idx="93">
                  <c:v>358.14763122692801</c:v>
                </c:pt>
                <c:pt idx="94">
                  <c:v>359.63991302370692</c:v>
                </c:pt>
                <c:pt idx="95">
                  <c:v>361.13841266130572</c:v>
                </c:pt>
                <c:pt idx="96">
                  <c:v>362.64315604739448</c:v>
                </c:pt>
                <c:pt idx="97">
                  <c:v>364.15416919759201</c:v>
                </c:pt>
                <c:pt idx="98">
                  <c:v>365.67147823591529</c:v>
                </c:pt>
                <c:pt idx="99">
                  <c:v>367.19510939523161</c:v>
                </c:pt>
                <c:pt idx="100">
                  <c:v>368.72508901771175</c:v>
                </c:pt>
                <c:pt idx="101">
                  <c:v>370.26144355528555</c:v>
                </c:pt>
                <c:pt idx="102">
                  <c:v>371.80419957009923</c:v>
                </c:pt>
                <c:pt idx="103">
                  <c:v>373.35338373497467</c:v>
                </c:pt>
                <c:pt idx="104">
                  <c:v>374.90902283387038</c:v>
                </c:pt>
                <c:pt idx="105">
                  <c:v>376.47114376234487</c:v>
                </c:pt>
                <c:pt idx="106">
                  <c:v>378.03977352802127</c:v>
                </c:pt>
                <c:pt idx="107">
                  <c:v>379.61493925105475</c:v>
                </c:pt>
                <c:pt idx="108">
                  <c:v>381.19666816460079</c:v>
                </c:pt>
                <c:pt idx="109">
                  <c:v>382.78498761528664</c:v>
                </c:pt>
                <c:pt idx="110">
                  <c:v>384.37992506368369</c:v>
                </c:pt>
                <c:pt idx="111">
                  <c:v>385.98150808478238</c:v>
                </c:pt>
                <c:pt idx="112">
                  <c:v>387.58976436846893</c:v>
                </c:pt>
                <c:pt idx="113">
                  <c:v>389.20472172000422</c:v>
                </c:pt>
                <c:pt idx="114">
                  <c:v>390.82640806050421</c:v>
                </c:pt>
                <c:pt idx="115">
                  <c:v>392.45485142742302</c:v>
                </c:pt>
                <c:pt idx="116">
                  <c:v>394.09007997503727</c:v>
                </c:pt>
                <c:pt idx="117">
                  <c:v>395.73212197493325</c:v>
                </c:pt>
                <c:pt idx="118">
                  <c:v>397.38100581649547</c:v>
                </c:pt>
                <c:pt idx="119">
                  <c:v>399.03676000739756</c:v>
                </c:pt>
                <c:pt idx="120">
                  <c:v>400.69941317409501</c:v>
                </c:pt>
                <c:pt idx="121">
                  <c:v>402.36899406232044</c:v>
                </c:pt>
                <c:pt idx="122">
                  <c:v>404.04553153758013</c:v>
                </c:pt>
                <c:pt idx="123">
                  <c:v>405.72905458565333</c:v>
                </c:pt>
                <c:pt idx="124">
                  <c:v>407.41959231309363</c:v>
                </c:pt>
                <c:pt idx="125">
                  <c:v>409.11717394773143</c:v>
                </c:pt>
                <c:pt idx="126">
                  <c:v>410.82182883918028</c:v>
                </c:pt>
                <c:pt idx="127">
                  <c:v>412.53358645934361</c:v>
                </c:pt>
                <c:pt idx="128">
                  <c:v>414.25247640292423</c:v>
                </c:pt>
                <c:pt idx="129">
                  <c:v>415.97852838793631</c:v>
                </c:pt>
                <c:pt idx="130">
                  <c:v>417.71177225621943</c:v>
                </c:pt>
                <c:pt idx="131">
                  <c:v>419.45223797395363</c:v>
                </c:pt>
                <c:pt idx="132">
                  <c:v>421.19995563217844</c:v>
                </c:pt>
                <c:pt idx="133">
                  <c:v>422.9549554473125</c:v>
                </c:pt>
                <c:pt idx="134">
                  <c:v>424.71726776167634</c:v>
                </c:pt>
                <c:pt idx="135">
                  <c:v>426.48692304401663</c:v>
                </c:pt>
                <c:pt idx="136">
                  <c:v>428.26395189003335</c:v>
                </c:pt>
                <c:pt idx="137">
                  <c:v>430.04838502290852</c:v>
                </c:pt>
                <c:pt idx="138">
                  <c:v>431.84025329383735</c:v>
                </c:pt>
                <c:pt idx="139">
                  <c:v>433.63958768256157</c:v>
                </c:pt>
                <c:pt idx="140">
                  <c:v>435.44641929790566</c:v>
                </c:pt>
                <c:pt idx="141">
                  <c:v>437.2607793783136</c:v>
                </c:pt>
                <c:pt idx="142">
                  <c:v>439.08269929238986</c:v>
                </c:pt>
                <c:pt idx="143">
                  <c:v>440.9122105394415</c:v>
                </c:pt>
                <c:pt idx="144">
                  <c:v>442.74934475002249</c:v>
                </c:pt>
                <c:pt idx="145">
                  <c:v>444.59413368648097</c:v>
                </c:pt>
                <c:pt idx="146">
                  <c:v>446.44660924350796</c:v>
                </c:pt>
                <c:pt idx="147">
                  <c:v>448.30680344868915</c:v>
                </c:pt>
                <c:pt idx="148">
                  <c:v>450.17474846305868</c:v>
                </c:pt>
                <c:pt idx="149">
                  <c:v>452.05047658165483</c:v>
                </c:pt>
                <c:pt idx="150">
                  <c:v>453.93402023407839</c:v>
                </c:pt>
                <c:pt idx="151">
                  <c:v>455.82541198505373</c:v>
                </c:pt>
                <c:pt idx="152">
                  <c:v>457.72468453499141</c:v>
                </c:pt>
                <c:pt idx="153">
                  <c:v>459.63187072055393</c:v>
                </c:pt>
                <c:pt idx="154">
                  <c:v>461.54700351522285</c:v>
                </c:pt>
                <c:pt idx="155">
                  <c:v>463.4701160298697</c:v>
                </c:pt>
                <c:pt idx="156">
                  <c:v>465.40124151332748</c:v>
                </c:pt>
                <c:pt idx="157">
                  <c:v>467.34041335296627</c:v>
                </c:pt>
                <c:pt idx="158">
                  <c:v>469.2876650752703</c:v>
                </c:pt>
                <c:pt idx="159">
                  <c:v>471.2430303464173</c:v>
                </c:pt>
                <c:pt idx="160">
                  <c:v>473.20654297286069</c:v>
                </c:pt>
                <c:pt idx="161">
                  <c:v>475.17823690191437</c:v>
                </c:pt>
                <c:pt idx="162">
                  <c:v>477.15814622233893</c:v>
                </c:pt>
                <c:pt idx="163">
                  <c:v>479.14630516493207</c:v>
                </c:pt>
                <c:pt idx="164">
                  <c:v>481.14274810311929</c:v>
                </c:pt>
                <c:pt idx="165">
                  <c:v>483.14750955354896</c:v>
                </c:pt>
                <c:pt idx="166">
                  <c:v>485.16062417668877</c:v>
                </c:pt>
                <c:pt idx="167">
                  <c:v>487.18212677742497</c:v>
                </c:pt>
                <c:pt idx="168">
                  <c:v>489.2120523056642</c:v>
                </c:pt>
                <c:pt idx="169">
                  <c:v>491.25043585693777</c:v>
                </c:pt>
                <c:pt idx="170">
                  <c:v>493.29731267300838</c:v>
                </c:pt>
                <c:pt idx="171">
                  <c:v>495.35271814247926</c:v>
                </c:pt>
                <c:pt idx="172">
                  <c:v>497.41668780140623</c:v>
                </c:pt>
                <c:pt idx="173">
                  <c:v>499.48925733391206</c:v>
                </c:pt>
                <c:pt idx="174">
                  <c:v>501.57046257280342</c:v>
                </c:pt>
                <c:pt idx="175">
                  <c:v>503.66033950019005</c:v>
                </c:pt>
                <c:pt idx="176">
                  <c:v>505.75892424810752</c:v>
                </c:pt>
                <c:pt idx="177">
                  <c:v>507.86625309914132</c:v>
                </c:pt>
                <c:pt idx="178">
                  <c:v>509.98236248705439</c:v>
                </c:pt>
                <c:pt idx="179">
                  <c:v>512.10728899741707</c:v>
                </c:pt>
                <c:pt idx="180">
                  <c:v>514.24106936823966</c:v>
                </c:pt>
                <c:pt idx="181">
                  <c:v>516.38374049060735</c:v>
                </c:pt>
                <c:pt idx="182">
                  <c:v>518.53533940931823</c:v>
                </c:pt>
                <c:pt idx="183">
                  <c:v>520.69590332352368</c:v>
                </c:pt>
                <c:pt idx="184">
                  <c:v>522.86546958737176</c:v>
                </c:pt>
                <c:pt idx="185">
                  <c:v>525.04407571065246</c:v>
                </c:pt>
                <c:pt idx="186">
                  <c:v>527.23175935944687</c:v>
                </c:pt>
                <c:pt idx="187">
                  <c:v>529.42855835677778</c:v>
                </c:pt>
                <c:pt idx="188">
                  <c:v>531.63451068326435</c:v>
                </c:pt>
                <c:pt idx="189">
                  <c:v>533.84965447777802</c:v>
                </c:pt>
                <c:pt idx="190">
                  <c:v>536.07402803810203</c:v>
                </c:pt>
                <c:pt idx="191">
                  <c:v>538.30766982159412</c:v>
                </c:pt>
                <c:pt idx="192">
                  <c:v>540.55061844585077</c:v>
                </c:pt>
                <c:pt idx="193">
                  <c:v>542.80291268937515</c:v>
                </c:pt>
                <c:pt idx="194">
                  <c:v>545.06459149224759</c:v>
                </c:pt>
                <c:pt idx="195">
                  <c:v>547.33569395679865</c:v>
                </c:pt>
                <c:pt idx="196">
                  <c:v>549.61625934828521</c:v>
                </c:pt>
                <c:pt idx="197">
                  <c:v>551.90632709556985</c:v>
                </c:pt>
                <c:pt idx="198">
                  <c:v>554.20593679180138</c:v>
                </c:pt>
                <c:pt idx="199">
                  <c:v>556.51512819510049</c:v>
                </c:pt>
                <c:pt idx="200">
                  <c:v>558.83394122924676</c:v>
                </c:pt>
                <c:pt idx="201">
                  <c:v>561.16241598436864</c:v>
                </c:pt>
                <c:pt idx="202">
                  <c:v>563.50059271763678</c:v>
                </c:pt>
                <c:pt idx="203">
                  <c:v>565.8485118539603</c:v>
                </c:pt>
                <c:pt idx="204">
                  <c:v>568.20621398668516</c:v>
                </c:pt>
                <c:pt idx="205">
                  <c:v>570.57373987829635</c:v>
                </c:pt>
                <c:pt idx="206">
                  <c:v>572.9511304611226</c:v>
                </c:pt>
                <c:pt idx="207">
                  <c:v>575.33842683804392</c:v>
                </c:pt>
                <c:pt idx="208">
                  <c:v>577.73567028320247</c:v>
                </c:pt>
                <c:pt idx="209">
                  <c:v>580.14290224271576</c:v>
                </c:pt>
                <c:pt idx="210">
                  <c:v>582.56016433539378</c:v>
                </c:pt>
                <c:pt idx="211">
                  <c:v>584.98749835345791</c:v>
                </c:pt>
                <c:pt idx="212">
                  <c:v>587.42494626326402</c:v>
                </c:pt>
                <c:pt idx="213">
                  <c:v>589.87255020602754</c:v>
                </c:pt>
                <c:pt idx="214">
                  <c:v>592.33035249855266</c:v>
                </c:pt>
                <c:pt idx="215">
                  <c:v>594.79839563396331</c:v>
                </c:pt>
                <c:pt idx="216">
                  <c:v>597.27672228243819</c:v>
                </c:pt>
                <c:pt idx="217">
                  <c:v>599.76537529194832</c:v>
                </c:pt>
                <c:pt idx="218">
                  <c:v>602.26439768899809</c:v>
                </c:pt>
                <c:pt idx="219">
                  <c:v>604.77383267936898</c:v>
                </c:pt>
                <c:pt idx="220">
                  <c:v>607.29372364886626</c:v>
                </c:pt>
                <c:pt idx="221">
                  <c:v>609.8241141640699</c:v>
                </c:pt>
                <c:pt idx="222">
                  <c:v>612.36504797308692</c:v>
                </c:pt>
                <c:pt idx="223">
                  <c:v>614.91656900630812</c:v>
                </c:pt>
                <c:pt idx="224">
                  <c:v>617.47872137716774</c:v>
                </c:pt>
                <c:pt idx="225">
                  <c:v>620.05154938290593</c:v>
                </c:pt>
                <c:pt idx="226">
                  <c:v>622.63509750533467</c:v>
                </c:pt>
                <c:pt idx="227">
                  <c:v>625.22941041160686</c:v>
                </c:pt>
                <c:pt idx="228">
                  <c:v>627.83453295498862</c:v>
                </c:pt>
                <c:pt idx="229">
                  <c:v>630.45051017563435</c:v>
                </c:pt>
                <c:pt idx="230">
                  <c:v>633.07738730136623</c:v>
                </c:pt>
                <c:pt idx="231">
                  <c:v>635.71520974845521</c:v>
                </c:pt>
                <c:pt idx="232">
                  <c:v>638.36402312240716</c:v>
                </c:pt>
                <c:pt idx="233">
                  <c:v>641.02387321875051</c:v>
                </c:pt>
                <c:pt idx="234">
                  <c:v>643.69480602382862</c:v>
                </c:pt>
                <c:pt idx="235">
                  <c:v>646.37686771559459</c:v>
                </c:pt>
                <c:pt idx="236">
                  <c:v>649.07010466440954</c:v>
                </c:pt>
                <c:pt idx="237">
                  <c:v>651.77456343384461</c:v>
                </c:pt>
                <c:pt idx="238">
                  <c:v>654.49029078148556</c:v>
                </c:pt>
                <c:pt idx="239">
                  <c:v>654.47892810284327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D-4E0D-BDE5-D76F9B745B75}"/>
            </c:ext>
          </c:extLst>
        </c:ser>
        <c:ser>
          <c:idx val="1"/>
          <c:order val="1"/>
          <c:tx>
            <c:v>Zinsen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Berechnungen!$C$16:$C$616</c:f>
              <c:numCache>
                <c:formatCode>m/d/yyyy</c:formatCode>
                <c:ptCount val="601"/>
                <c:pt idx="0">
                  <c:v>43281</c:v>
                </c:pt>
                <c:pt idx="1">
                  <c:v>43312</c:v>
                </c:pt>
                <c:pt idx="2">
                  <c:v>43343</c:v>
                </c:pt>
                <c:pt idx="3">
                  <c:v>43373</c:v>
                </c:pt>
                <c:pt idx="4">
                  <c:v>43404</c:v>
                </c:pt>
                <c:pt idx="5">
                  <c:v>43434</c:v>
                </c:pt>
                <c:pt idx="6">
                  <c:v>43465</c:v>
                </c:pt>
                <c:pt idx="7">
                  <c:v>43496</c:v>
                </c:pt>
                <c:pt idx="8">
                  <c:v>43524</c:v>
                </c:pt>
                <c:pt idx="9">
                  <c:v>43555</c:v>
                </c:pt>
                <c:pt idx="10">
                  <c:v>43585</c:v>
                </c:pt>
                <c:pt idx="11">
                  <c:v>43616</c:v>
                </c:pt>
                <c:pt idx="12">
                  <c:v>43646</c:v>
                </c:pt>
                <c:pt idx="13">
                  <c:v>43677</c:v>
                </c:pt>
                <c:pt idx="14">
                  <c:v>43708</c:v>
                </c:pt>
                <c:pt idx="15">
                  <c:v>43738</c:v>
                </c:pt>
                <c:pt idx="16">
                  <c:v>43769</c:v>
                </c:pt>
                <c:pt idx="17">
                  <c:v>43799</c:v>
                </c:pt>
                <c:pt idx="18">
                  <c:v>43830</c:v>
                </c:pt>
                <c:pt idx="19">
                  <c:v>43861</c:v>
                </c:pt>
                <c:pt idx="20">
                  <c:v>43890</c:v>
                </c:pt>
                <c:pt idx="21">
                  <c:v>43921</c:v>
                </c:pt>
                <c:pt idx="22">
                  <c:v>43951</c:v>
                </c:pt>
                <c:pt idx="23">
                  <c:v>43982</c:v>
                </c:pt>
                <c:pt idx="24">
                  <c:v>44012</c:v>
                </c:pt>
                <c:pt idx="25">
                  <c:v>44043</c:v>
                </c:pt>
                <c:pt idx="26">
                  <c:v>44074</c:v>
                </c:pt>
                <c:pt idx="27">
                  <c:v>44104</c:v>
                </c:pt>
                <c:pt idx="28">
                  <c:v>44135</c:v>
                </c:pt>
                <c:pt idx="29">
                  <c:v>44165</c:v>
                </c:pt>
                <c:pt idx="30">
                  <c:v>44196</c:v>
                </c:pt>
                <c:pt idx="31">
                  <c:v>44227</c:v>
                </c:pt>
                <c:pt idx="32">
                  <c:v>44255</c:v>
                </c:pt>
                <c:pt idx="33">
                  <c:v>44286</c:v>
                </c:pt>
                <c:pt idx="34">
                  <c:v>44316</c:v>
                </c:pt>
                <c:pt idx="35">
                  <c:v>44347</c:v>
                </c:pt>
                <c:pt idx="36">
                  <c:v>44377</c:v>
                </c:pt>
                <c:pt idx="37">
                  <c:v>44408</c:v>
                </c:pt>
                <c:pt idx="38">
                  <c:v>44439</c:v>
                </c:pt>
                <c:pt idx="39">
                  <c:v>44469</c:v>
                </c:pt>
                <c:pt idx="40">
                  <c:v>44500</c:v>
                </c:pt>
                <c:pt idx="41">
                  <c:v>44530</c:v>
                </c:pt>
                <c:pt idx="42">
                  <c:v>44561</c:v>
                </c:pt>
                <c:pt idx="43">
                  <c:v>44592</c:v>
                </c:pt>
                <c:pt idx="44">
                  <c:v>44620</c:v>
                </c:pt>
                <c:pt idx="45">
                  <c:v>44651</c:v>
                </c:pt>
                <c:pt idx="46">
                  <c:v>44681</c:v>
                </c:pt>
                <c:pt idx="47">
                  <c:v>44712</c:v>
                </c:pt>
                <c:pt idx="48">
                  <c:v>44742</c:v>
                </c:pt>
                <c:pt idx="49">
                  <c:v>44773</c:v>
                </c:pt>
                <c:pt idx="50">
                  <c:v>44804</c:v>
                </c:pt>
                <c:pt idx="51">
                  <c:v>44834</c:v>
                </c:pt>
                <c:pt idx="52">
                  <c:v>44865</c:v>
                </c:pt>
                <c:pt idx="53">
                  <c:v>44895</c:v>
                </c:pt>
                <c:pt idx="54">
                  <c:v>44926</c:v>
                </c:pt>
                <c:pt idx="55">
                  <c:v>44957</c:v>
                </c:pt>
                <c:pt idx="56">
                  <c:v>44985</c:v>
                </c:pt>
                <c:pt idx="57">
                  <c:v>45016</c:v>
                </c:pt>
                <c:pt idx="58">
                  <c:v>45046</c:v>
                </c:pt>
                <c:pt idx="59">
                  <c:v>45077</c:v>
                </c:pt>
                <c:pt idx="60">
                  <c:v>45107</c:v>
                </c:pt>
                <c:pt idx="61">
                  <c:v>45138</c:v>
                </c:pt>
                <c:pt idx="62">
                  <c:v>45169</c:v>
                </c:pt>
                <c:pt idx="63">
                  <c:v>45199</c:v>
                </c:pt>
                <c:pt idx="64">
                  <c:v>45230</c:v>
                </c:pt>
                <c:pt idx="65">
                  <c:v>45260</c:v>
                </c:pt>
                <c:pt idx="66">
                  <c:v>45291</c:v>
                </c:pt>
                <c:pt idx="67">
                  <c:v>45322</c:v>
                </c:pt>
                <c:pt idx="68">
                  <c:v>45351</c:v>
                </c:pt>
                <c:pt idx="69">
                  <c:v>45382</c:v>
                </c:pt>
                <c:pt idx="70">
                  <c:v>45412</c:v>
                </c:pt>
                <c:pt idx="71">
                  <c:v>45443</c:v>
                </c:pt>
                <c:pt idx="72">
                  <c:v>45473</c:v>
                </c:pt>
                <c:pt idx="73">
                  <c:v>45504</c:v>
                </c:pt>
                <c:pt idx="74">
                  <c:v>45535</c:v>
                </c:pt>
                <c:pt idx="75">
                  <c:v>45565</c:v>
                </c:pt>
                <c:pt idx="76">
                  <c:v>45596</c:v>
                </c:pt>
                <c:pt idx="77">
                  <c:v>45626</c:v>
                </c:pt>
                <c:pt idx="78">
                  <c:v>45657</c:v>
                </c:pt>
                <c:pt idx="79">
                  <c:v>45688</c:v>
                </c:pt>
                <c:pt idx="80">
                  <c:v>45716</c:v>
                </c:pt>
                <c:pt idx="81">
                  <c:v>45747</c:v>
                </c:pt>
                <c:pt idx="82">
                  <c:v>45777</c:v>
                </c:pt>
                <c:pt idx="83">
                  <c:v>45808</c:v>
                </c:pt>
                <c:pt idx="84">
                  <c:v>45838</c:v>
                </c:pt>
                <c:pt idx="85">
                  <c:v>45869</c:v>
                </c:pt>
                <c:pt idx="86">
                  <c:v>45900</c:v>
                </c:pt>
                <c:pt idx="87">
                  <c:v>45930</c:v>
                </c:pt>
                <c:pt idx="88">
                  <c:v>45961</c:v>
                </c:pt>
                <c:pt idx="89">
                  <c:v>45991</c:v>
                </c:pt>
                <c:pt idx="90">
                  <c:v>46022</c:v>
                </c:pt>
                <c:pt idx="91">
                  <c:v>46053</c:v>
                </c:pt>
                <c:pt idx="92">
                  <c:v>46081</c:v>
                </c:pt>
                <c:pt idx="93">
                  <c:v>46112</c:v>
                </c:pt>
                <c:pt idx="94">
                  <c:v>46142</c:v>
                </c:pt>
                <c:pt idx="95">
                  <c:v>46173</c:v>
                </c:pt>
                <c:pt idx="96">
                  <c:v>46203</c:v>
                </c:pt>
                <c:pt idx="97">
                  <c:v>46234</c:v>
                </c:pt>
                <c:pt idx="98">
                  <c:v>46265</c:v>
                </c:pt>
                <c:pt idx="99">
                  <c:v>46295</c:v>
                </c:pt>
                <c:pt idx="100">
                  <c:v>46326</c:v>
                </c:pt>
                <c:pt idx="101">
                  <c:v>46356</c:v>
                </c:pt>
                <c:pt idx="102">
                  <c:v>46387</c:v>
                </c:pt>
                <c:pt idx="103">
                  <c:v>46418</c:v>
                </c:pt>
                <c:pt idx="104">
                  <c:v>46446</c:v>
                </c:pt>
                <c:pt idx="105">
                  <c:v>46477</c:v>
                </c:pt>
                <c:pt idx="106">
                  <c:v>46507</c:v>
                </c:pt>
                <c:pt idx="107">
                  <c:v>46538</c:v>
                </c:pt>
                <c:pt idx="108">
                  <c:v>46568</c:v>
                </c:pt>
                <c:pt idx="109">
                  <c:v>46599</c:v>
                </c:pt>
                <c:pt idx="110">
                  <c:v>46630</c:v>
                </c:pt>
                <c:pt idx="111">
                  <c:v>46660</c:v>
                </c:pt>
                <c:pt idx="112">
                  <c:v>46691</c:v>
                </c:pt>
                <c:pt idx="113">
                  <c:v>46721</c:v>
                </c:pt>
                <c:pt idx="114">
                  <c:v>46752</c:v>
                </c:pt>
                <c:pt idx="115">
                  <c:v>46783</c:v>
                </c:pt>
                <c:pt idx="116">
                  <c:v>46812</c:v>
                </c:pt>
                <c:pt idx="117">
                  <c:v>46843</c:v>
                </c:pt>
                <c:pt idx="118">
                  <c:v>46873</c:v>
                </c:pt>
                <c:pt idx="119">
                  <c:v>46904</c:v>
                </c:pt>
                <c:pt idx="120">
                  <c:v>46934</c:v>
                </c:pt>
                <c:pt idx="121">
                  <c:v>46965</c:v>
                </c:pt>
                <c:pt idx="122">
                  <c:v>46996</c:v>
                </c:pt>
                <c:pt idx="123">
                  <c:v>47026</c:v>
                </c:pt>
                <c:pt idx="124">
                  <c:v>47057</c:v>
                </c:pt>
                <c:pt idx="125">
                  <c:v>47087</c:v>
                </c:pt>
                <c:pt idx="126">
                  <c:v>47118</c:v>
                </c:pt>
                <c:pt idx="127">
                  <c:v>47149</c:v>
                </c:pt>
                <c:pt idx="128">
                  <c:v>47177</c:v>
                </c:pt>
                <c:pt idx="129">
                  <c:v>47208</c:v>
                </c:pt>
                <c:pt idx="130">
                  <c:v>47238</c:v>
                </c:pt>
                <c:pt idx="131">
                  <c:v>47269</c:v>
                </c:pt>
                <c:pt idx="132">
                  <c:v>47299</c:v>
                </c:pt>
                <c:pt idx="133">
                  <c:v>47330</c:v>
                </c:pt>
                <c:pt idx="134">
                  <c:v>47361</c:v>
                </c:pt>
                <c:pt idx="135">
                  <c:v>47391</c:v>
                </c:pt>
                <c:pt idx="136">
                  <c:v>47422</c:v>
                </c:pt>
                <c:pt idx="137">
                  <c:v>47452</c:v>
                </c:pt>
                <c:pt idx="138">
                  <c:v>47483</c:v>
                </c:pt>
                <c:pt idx="139">
                  <c:v>47514</c:v>
                </c:pt>
                <c:pt idx="140">
                  <c:v>47542</c:v>
                </c:pt>
                <c:pt idx="141">
                  <c:v>47573</c:v>
                </c:pt>
                <c:pt idx="142">
                  <c:v>47603</c:v>
                </c:pt>
                <c:pt idx="143">
                  <c:v>47634</c:v>
                </c:pt>
                <c:pt idx="144">
                  <c:v>47664</c:v>
                </c:pt>
                <c:pt idx="145">
                  <c:v>47695</c:v>
                </c:pt>
                <c:pt idx="146">
                  <c:v>47726</c:v>
                </c:pt>
                <c:pt idx="147">
                  <c:v>47756</c:v>
                </c:pt>
                <c:pt idx="148">
                  <c:v>47787</c:v>
                </c:pt>
                <c:pt idx="149">
                  <c:v>47817</c:v>
                </c:pt>
                <c:pt idx="150">
                  <c:v>47848</c:v>
                </c:pt>
                <c:pt idx="151">
                  <c:v>47879</c:v>
                </c:pt>
                <c:pt idx="152">
                  <c:v>47907</c:v>
                </c:pt>
                <c:pt idx="153">
                  <c:v>47938</c:v>
                </c:pt>
                <c:pt idx="154">
                  <c:v>47968</c:v>
                </c:pt>
                <c:pt idx="155">
                  <c:v>47999</c:v>
                </c:pt>
                <c:pt idx="156">
                  <c:v>48029</c:v>
                </c:pt>
                <c:pt idx="157">
                  <c:v>48060</c:v>
                </c:pt>
                <c:pt idx="158">
                  <c:v>48091</c:v>
                </c:pt>
                <c:pt idx="159">
                  <c:v>48121</c:v>
                </c:pt>
                <c:pt idx="160">
                  <c:v>48152</c:v>
                </c:pt>
                <c:pt idx="161">
                  <c:v>48182</c:v>
                </c:pt>
                <c:pt idx="162">
                  <c:v>48213</c:v>
                </c:pt>
                <c:pt idx="163">
                  <c:v>48244</c:v>
                </c:pt>
                <c:pt idx="164">
                  <c:v>48273</c:v>
                </c:pt>
                <c:pt idx="165">
                  <c:v>48304</c:v>
                </c:pt>
                <c:pt idx="166">
                  <c:v>48334</c:v>
                </c:pt>
                <c:pt idx="167">
                  <c:v>48365</c:v>
                </c:pt>
                <c:pt idx="168">
                  <c:v>48395</c:v>
                </c:pt>
                <c:pt idx="169">
                  <c:v>48426</c:v>
                </c:pt>
                <c:pt idx="170">
                  <c:v>48457</c:v>
                </c:pt>
                <c:pt idx="171">
                  <c:v>48487</c:v>
                </c:pt>
                <c:pt idx="172">
                  <c:v>48518</c:v>
                </c:pt>
                <c:pt idx="173">
                  <c:v>48548</c:v>
                </c:pt>
                <c:pt idx="174">
                  <c:v>48579</c:v>
                </c:pt>
                <c:pt idx="175">
                  <c:v>48610</c:v>
                </c:pt>
                <c:pt idx="176">
                  <c:v>48638</c:v>
                </c:pt>
                <c:pt idx="177">
                  <c:v>48669</c:v>
                </c:pt>
                <c:pt idx="178">
                  <c:v>48699</c:v>
                </c:pt>
                <c:pt idx="179">
                  <c:v>48730</c:v>
                </c:pt>
                <c:pt idx="180">
                  <c:v>48760</c:v>
                </c:pt>
                <c:pt idx="181">
                  <c:v>48791</c:v>
                </c:pt>
                <c:pt idx="182">
                  <c:v>48822</c:v>
                </c:pt>
                <c:pt idx="183">
                  <c:v>48852</c:v>
                </c:pt>
                <c:pt idx="184">
                  <c:v>48883</c:v>
                </c:pt>
                <c:pt idx="185">
                  <c:v>48913</c:v>
                </c:pt>
                <c:pt idx="186">
                  <c:v>48944</c:v>
                </c:pt>
                <c:pt idx="187">
                  <c:v>48975</c:v>
                </c:pt>
                <c:pt idx="188">
                  <c:v>49003</c:v>
                </c:pt>
                <c:pt idx="189">
                  <c:v>49034</c:v>
                </c:pt>
                <c:pt idx="190">
                  <c:v>49064</c:v>
                </c:pt>
                <c:pt idx="191">
                  <c:v>49095</c:v>
                </c:pt>
                <c:pt idx="192">
                  <c:v>49125</c:v>
                </c:pt>
                <c:pt idx="193">
                  <c:v>49156</c:v>
                </c:pt>
                <c:pt idx="194">
                  <c:v>49187</c:v>
                </c:pt>
                <c:pt idx="195">
                  <c:v>49217</c:v>
                </c:pt>
                <c:pt idx="196">
                  <c:v>49248</c:v>
                </c:pt>
                <c:pt idx="197">
                  <c:v>49278</c:v>
                </c:pt>
                <c:pt idx="198">
                  <c:v>49309</c:v>
                </c:pt>
                <c:pt idx="199">
                  <c:v>49340</c:v>
                </c:pt>
                <c:pt idx="200">
                  <c:v>49368</c:v>
                </c:pt>
                <c:pt idx="201">
                  <c:v>49399</c:v>
                </c:pt>
                <c:pt idx="202">
                  <c:v>49429</c:v>
                </c:pt>
                <c:pt idx="203">
                  <c:v>49460</c:v>
                </c:pt>
                <c:pt idx="204">
                  <c:v>49490</c:v>
                </c:pt>
                <c:pt idx="205">
                  <c:v>49521</c:v>
                </c:pt>
                <c:pt idx="206">
                  <c:v>49552</c:v>
                </c:pt>
                <c:pt idx="207">
                  <c:v>49582</c:v>
                </c:pt>
                <c:pt idx="208">
                  <c:v>49613</c:v>
                </c:pt>
                <c:pt idx="209">
                  <c:v>49643</c:v>
                </c:pt>
                <c:pt idx="210">
                  <c:v>49674</c:v>
                </c:pt>
                <c:pt idx="211">
                  <c:v>49705</c:v>
                </c:pt>
                <c:pt idx="212">
                  <c:v>49734</c:v>
                </c:pt>
                <c:pt idx="213">
                  <c:v>49765</c:v>
                </c:pt>
                <c:pt idx="214">
                  <c:v>49795</c:v>
                </c:pt>
                <c:pt idx="215">
                  <c:v>49826</c:v>
                </c:pt>
                <c:pt idx="216">
                  <c:v>49856</c:v>
                </c:pt>
                <c:pt idx="217">
                  <c:v>49887</c:v>
                </c:pt>
                <c:pt idx="218">
                  <c:v>49918</c:v>
                </c:pt>
                <c:pt idx="219">
                  <c:v>49948</c:v>
                </c:pt>
                <c:pt idx="220">
                  <c:v>49979</c:v>
                </c:pt>
                <c:pt idx="221">
                  <c:v>50009</c:v>
                </c:pt>
                <c:pt idx="222">
                  <c:v>50040</c:v>
                </c:pt>
                <c:pt idx="223">
                  <c:v>50071</c:v>
                </c:pt>
                <c:pt idx="224">
                  <c:v>50099</c:v>
                </c:pt>
                <c:pt idx="225">
                  <c:v>50130</c:v>
                </c:pt>
                <c:pt idx="226">
                  <c:v>50160</c:v>
                </c:pt>
                <c:pt idx="227">
                  <c:v>50191</c:v>
                </c:pt>
                <c:pt idx="228">
                  <c:v>50221</c:v>
                </c:pt>
                <c:pt idx="229">
                  <c:v>50252</c:v>
                </c:pt>
                <c:pt idx="230">
                  <c:v>50283</c:v>
                </c:pt>
                <c:pt idx="231">
                  <c:v>50313</c:v>
                </c:pt>
                <c:pt idx="232">
                  <c:v>50344</c:v>
                </c:pt>
                <c:pt idx="233">
                  <c:v>50374</c:v>
                </c:pt>
                <c:pt idx="234">
                  <c:v>50405</c:v>
                </c:pt>
                <c:pt idx="235">
                  <c:v>50436</c:v>
                </c:pt>
                <c:pt idx="236">
                  <c:v>50464</c:v>
                </c:pt>
                <c:pt idx="237">
                  <c:v>50495</c:v>
                </c:pt>
                <c:pt idx="238">
                  <c:v>50525</c:v>
                </c:pt>
                <c:pt idx="239">
                  <c:v>50556</c:v>
                </c:pt>
                <c:pt idx="240">
                  <c:v>50586</c:v>
                </c:pt>
                <c:pt idx="241">
                  <c:v>50617</c:v>
                </c:pt>
                <c:pt idx="242">
                  <c:v>50648</c:v>
                </c:pt>
                <c:pt idx="243">
                  <c:v>50678</c:v>
                </c:pt>
                <c:pt idx="244">
                  <c:v>50709</c:v>
                </c:pt>
                <c:pt idx="245">
                  <c:v>50739</c:v>
                </c:pt>
                <c:pt idx="246">
                  <c:v>50770</c:v>
                </c:pt>
                <c:pt idx="247">
                  <c:v>50801</c:v>
                </c:pt>
                <c:pt idx="248">
                  <c:v>50829</c:v>
                </c:pt>
                <c:pt idx="249">
                  <c:v>50860</c:v>
                </c:pt>
                <c:pt idx="250">
                  <c:v>50890</c:v>
                </c:pt>
                <c:pt idx="251">
                  <c:v>50921</c:v>
                </c:pt>
                <c:pt idx="252">
                  <c:v>50951</c:v>
                </c:pt>
                <c:pt idx="253">
                  <c:v>50982</c:v>
                </c:pt>
                <c:pt idx="254">
                  <c:v>51013</c:v>
                </c:pt>
                <c:pt idx="255">
                  <c:v>51043</c:v>
                </c:pt>
                <c:pt idx="256">
                  <c:v>51074</c:v>
                </c:pt>
                <c:pt idx="257">
                  <c:v>51104</c:v>
                </c:pt>
                <c:pt idx="258">
                  <c:v>51135</c:v>
                </c:pt>
                <c:pt idx="259">
                  <c:v>51166</c:v>
                </c:pt>
                <c:pt idx="260">
                  <c:v>51195</c:v>
                </c:pt>
                <c:pt idx="261">
                  <c:v>51226</c:v>
                </c:pt>
                <c:pt idx="262">
                  <c:v>51256</c:v>
                </c:pt>
                <c:pt idx="263">
                  <c:v>51287</c:v>
                </c:pt>
                <c:pt idx="264">
                  <c:v>51317</c:v>
                </c:pt>
                <c:pt idx="265">
                  <c:v>51348</c:v>
                </c:pt>
                <c:pt idx="266">
                  <c:v>51379</c:v>
                </c:pt>
                <c:pt idx="267">
                  <c:v>51409</c:v>
                </c:pt>
                <c:pt idx="268">
                  <c:v>51440</c:v>
                </c:pt>
                <c:pt idx="269">
                  <c:v>51470</c:v>
                </c:pt>
                <c:pt idx="270">
                  <c:v>51501</c:v>
                </c:pt>
                <c:pt idx="271">
                  <c:v>51532</c:v>
                </c:pt>
                <c:pt idx="272">
                  <c:v>51560</c:v>
                </c:pt>
                <c:pt idx="273">
                  <c:v>51591</c:v>
                </c:pt>
                <c:pt idx="274">
                  <c:v>51621</c:v>
                </c:pt>
                <c:pt idx="275">
                  <c:v>51652</c:v>
                </c:pt>
                <c:pt idx="276">
                  <c:v>51682</c:v>
                </c:pt>
                <c:pt idx="277">
                  <c:v>51713</c:v>
                </c:pt>
                <c:pt idx="278">
                  <c:v>51744</c:v>
                </c:pt>
                <c:pt idx="279">
                  <c:v>51774</c:v>
                </c:pt>
                <c:pt idx="280">
                  <c:v>51805</c:v>
                </c:pt>
                <c:pt idx="281">
                  <c:v>51835</c:v>
                </c:pt>
                <c:pt idx="282">
                  <c:v>51866</c:v>
                </c:pt>
                <c:pt idx="283">
                  <c:v>51897</c:v>
                </c:pt>
                <c:pt idx="284">
                  <c:v>51925</c:v>
                </c:pt>
                <c:pt idx="285">
                  <c:v>51956</c:v>
                </c:pt>
                <c:pt idx="286">
                  <c:v>51986</c:v>
                </c:pt>
                <c:pt idx="287">
                  <c:v>52017</c:v>
                </c:pt>
                <c:pt idx="288">
                  <c:v>52047</c:v>
                </c:pt>
                <c:pt idx="289">
                  <c:v>52078</c:v>
                </c:pt>
                <c:pt idx="290">
                  <c:v>52109</c:v>
                </c:pt>
                <c:pt idx="291">
                  <c:v>52139</c:v>
                </c:pt>
                <c:pt idx="292">
                  <c:v>52170</c:v>
                </c:pt>
                <c:pt idx="293">
                  <c:v>52200</c:v>
                </c:pt>
                <c:pt idx="294">
                  <c:v>52231</c:v>
                </c:pt>
                <c:pt idx="295">
                  <c:v>52262</c:v>
                </c:pt>
                <c:pt idx="296">
                  <c:v>52290</c:v>
                </c:pt>
                <c:pt idx="297">
                  <c:v>52321</c:v>
                </c:pt>
                <c:pt idx="298">
                  <c:v>52351</c:v>
                </c:pt>
                <c:pt idx="299">
                  <c:v>52382</c:v>
                </c:pt>
                <c:pt idx="300">
                  <c:v>52412</c:v>
                </c:pt>
                <c:pt idx="301">
                  <c:v>52443</c:v>
                </c:pt>
                <c:pt idx="302">
                  <c:v>52474</c:v>
                </c:pt>
                <c:pt idx="303">
                  <c:v>52504</c:v>
                </c:pt>
                <c:pt idx="304">
                  <c:v>52535</c:v>
                </c:pt>
                <c:pt idx="305">
                  <c:v>52565</c:v>
                </c:pt>
                <c:pt idx="306">
                  <c:v>52596</c:v>
                </c:pt>
                <c:pt idx="307">
                  <c:v>52627</c:v>
                </c:pt>
                <c:pt idx="308">
                  <c:v>52656</c:v>
                </c:pt>
                <c:pt idx="309">
                  <c:v>52687</c:v>
                </c:pt>
                <c:pt idx="310">
                  <c:v>52717</c:v>
                </c:pt>
                <c:pt idx="311">
                  <c:v>52748</c:v>
                </c:pt>
                <c:pt idx="312">
                  <c:v>52778</c:v>
                </c:pt>
                <c:pt idx="313">
                  <c:v>43281</c:v>
                </c:pt>
                <c:pt idx="314">
                  <c:v>43281</c:v>
                </c:pt>
                <c:pt idx="315">
                  <c:v>43281</c:v>
                </c:pt>
                <c:pt idx="316">
                  <c:v>43281</c:v>
                </c:pt>
                <c:pt idx="317">
                  <c:v>43281</c:v>
                </c:pt>
                <c:pt idx="318">
                  <c:v>43281</c:v>
                </c:pt>
                <c:pt idx="319">
                  <c:v>43281</c:v>
                </c:pt>
                <c:pt idx="320">
                  <c:v>43281</c:v>
                </c:pt>
                <c:pt idx="321">
                  <c:v>43281</c:v>
                </c:pt>
                <c:pt idx="322">
                  <c:v>43281</c:v>
                </c:pt>
                <c:pt idx="323">
                  <c:v>43281</c:v>
                </c:pt>
                <c:pt idx="324">
                  <c:v>43281</c:v>
                </c:pt>
                <c:pt idx="325">
                  <c:v>43281</c:v>
                </c:pt>
                <c:pt idx="326">
                  <c:v>43281</c:v>
                </c:pt>
                <c:pt idx="327">
                  <c:v>43281</c:v>
                </c:pt>
                <c:pt idx="328">
                  <c:v>43281</c:v>
                </c:pt>
                <c:pt idx="329">
                  <c:v>43281</c:v>
                </c:pt>
                <c:pt idx="330">
                  <c:v>43281</c:v>
                </c:pt>
                <c:pt idx="331">
                  <c:v>43281</c:v>
                </c:pt>
                <c:pt idx="332">
                  <c:v>43281</c:v>
                </c:pt>
                <c:pt idx="333">
                  <c:v>43281</c:v>
                </c:pt>
                <c:pt idx="334">
                  <c:v>43281</c:v>
                </c:pt>
                <c:pt idx="335">
                  <c:v>43281</c:v>
                </c:pt>
                <c:pt idx="336">
                  <c:v>43281</c:v>
                </c:pt>
                <c:pt idx="337">
                  <c:v>43281</c:v>
                </c:pt>
                <c:pt idx="338">
                  <c:v>43281</c:v>
                </c:pt>
                <c:pt idx="339">
                  <c:v>43281</c:v>
                </c:pt>
                <c:pt idx="340">
                  <c:v>43281</c:v>
                </c:pt>
                <c:pt idx="341">
                  <c:v>43281</c:v>
                </c:pt>
                <c:pt idx="342">
                  <c:v>43281</c:v>
                </c:pt>
                <c:pt idx="343">
                  <c:v>43281</c:v>
                </c:pt>
                <c:pt idx="344">
                  <c:v>43281</c:v>
                </c:pt>
                <c:pt idx="345">
                  <c:v>43281</c:v>
                </c:pt>
                <c:pt idx="346">
                  <c:v>43281</c:v>
                </c:pt>
                <c:pt idx="347">
                  <c:v>43281</c:v>
                </c:pt>
                <c:pt idx="348">
                  <c:v>43281</c:v>
                </c:pt>
                <c:pt idx="349">
                  <c:v>43281</c:v>
                </c:pt>
                <c:pt idx="350">
                  <c:v>43281</c:v>
                </c:pt>
                <c:pt idx="351">
                  <c:v>43281</c:v>
                </c:pt>
                <c:pt idx="352">
                  <c:v>43281</c:v>
                </c:pt>
                <c:pt idx="353">
                  <c:v>43281</c:v>
                </c:pt>
                <c:pt idx="354">
                  <c:v>43281</c:v>
                </c:pt>
                <c:pt idx="355">
                  <c:v>43281</c:v>
                </c:pt>
                <c:pt idx="356">
                  <c:v>43281</c:v>
                </c:pt>
                <c:pt idx="357">
                  <c:v>43281</c:v>
                </c:pt>
                <c:pt idx="358">
                  <c:v>43281</c:v>
                </c:pt>
                <c:pt idx="359">
                  <c:v>43281</c:v>
                </c:pt>
                <c:pt idx="360">
                  <c:v>43281</c:v>
                </c:pt>
                <c:pt idx="361">
                  <c:v>43281</c:v>
                </c:pt>
                <c:pt idx="362">
                  <c:v>43281</c:v>
                </c:pt>
                <c:pt idx="363">
                  <c:v>43281</c:v>
                </c:pt>
                <c:pt idx="364">
                  <c:v>43281</c:v>
                </c:pt>
                <c:pt idx="365">
                  <c:v>43281</c:v>
                </c:pt>
                <c:pt idx="366">
                  <c:v>43281</c:v>
                </c:pt>
                <c:pt idx="367">
                  <c:v>43281</c:v>
                </c:pt>
                <c:pt idx="368">
                  <c:v>43281</c:v>
                </c:pt>
                <c:pt idx="369">
                  <c:v>43281</c:v>
                </c:pt>
                <c:pt idx="370">
                  <c:v>43281</c:v>
                </c:pt>
                <c:pt idx="371">
                  <c:v>43281</c:v>
                </c:pt>
                <c:pt idx="372">
                  <c:v>43281</c:v>
                </c:pt>
                <c:pt idx="373">
                  <c:v>43281</c:v>
                </c:pt>
                <c:pt idx="374">
                  <c:v>43281</c:v>
                </c:pt>
                <c:pt idx="375">
                  <c:v>43281</c:v>
                </c:pt>
                <c:pt idx="376">
                  <c:v>43281</c:v>
                </c:pt>
                <c:pt idx="377">
                  <c:v>43281</c:v>
                </c:pt>
                <c:pt idx="378">
                  <c:v>43281</c:v>
                </c:pt>
                <c:pt idx="379">
                  <c:v>43281</c:v>
                </c:pt>
                <c:pt idx="380">
                  <c:v>43281</c:v>
                </c:pt>
                <c:pt idx="381">
                  <c:v>43281</c:v>
                </c:pt>
                <c:pt idx="382">
                  <c:v>43281</c:v>
                </c:pt>
                <c:pt idx="383">
                  <c:v>43281</c:v>
                </c:pt>
                <c:pt idx="384">
                  <c:v>43281</c:v>
                </c:pt>
                <c:pt idx="385">
                  <c:v>43281</c:v>
                </c:pt>
                <c:pt idx="386">
                  <c:v>43281</c:v>
                </c:pt>
                <c:pt idx="387">
                  <c:v>43281</c:v>
                </c:pt>
                <c:pt idx="388">
                  <c:v>43281</c:v>
                </c:pt>
                <c:pt idx="389">
                  <c:v>43281</c:v>
                </c:pt>
                <c:pt idx="390">
                  <c:v>43281</c:v>
                </c:pt>
                <c:pt idx="391">
                  <c:v>43281</c:v>
                </c:pt>
                <c:pt idx="392">
                  <c:v>43281</c:v>
                </c:pt>
                <c:pt idx="393">
                  <c:v>43281</c:v>
                </c:pt>
                <c:pt idx="394">
                  <c:v>43281</c:v>
                </c:pt>
                <c:pt idx="395">
                  <c:v>43281</c:v>
                </c:pt>
                <c:pt idx="396">
                  <c:v>43281</c:v>
                </c:pt>
                <c:pt idx="397">
                  <c:v>43281</c:v>
                </c:pt>
                <c:pt idx="398">
                  <c:v>43281</c:v>
                </c:pt>
                <c:pt idx="399">
                  <c:v>43281</c:v>
                </c:pt>
                <c:pt idx="400">
                  <c:v>43281</c:v>
                </c:pt>
                <c:pt idx="401">
                  <c:v>43281</c:v>
                </c:pt>
                <c:pt idx="402">
                  <c:v>43281</c:v>
                </c:pt>
                <c:pt idx="403">
                  <c:v>43281</c:v>
                </c:pt>
                <c:pt idx="404">
                  <c:v>43281</c:v>
                </c:pt>
                <c:pt idx="405">
                  <c:v>43281</c:v>
                </c:pt>
                <c:pt idx="406">
                  <c:v>43281</c:v>
                </c:pt>
                <c:pt idx="407">
                  <c:v>43281</c:v>
                </c:pt>
                <c:pt idx="408">
                  <c:v>43281</c:v>
                </c:pt>
                <c:pt idx="409">
                  <c:v>43281</c:v>
                </c:pt>
                <c:pt idx="410">
                  <c:v>43281</c:v>
                </c:pt>
                <c:pt idx="411">
                  <c:v>43281</c:v>
                </c:pt>
                <c:pt idx="412">
                  <c:v>43281</c:v>
                </c:pt>
                <c:pt idx="413">
                  <c:v>43281</c:v>
                </c:pt>
                <c:pt idx="414">
                  <c:v>43281</c:v>
                </c:pt>
                <c:pt idx="415">
                  <c:v>43281</c:v>
                </c:pt>
                <c:pt idx="416">
                  <c:v>43281</c:v>
                </c:pt>
                <c:pt idx="417">
                  <c:v>43281</c:v>
                </c:pt>
                <c:pt idx="418">
                  <c:v>43281</c:v>
                </c:pt>
                <c:pt idx="419">
                  <c:v>43281</c:v>
                </c:pt>
                <c:pt idx="420">
                  <c:v>43281</c:v>
                </c:pt>
                <c:pt idx="421">
                  <c:v>43281</c:v>
                </c:pt>
                <c:pt idx="422">
                  <c:v>43281</c:v>
                </c:pt>
                <c:pt idx="423">
                  <c:v>43281</c:v>
                </c:pt>
                <c:pt idx="424">
                  <c:v>43281</c:v>
                </c:pt>
                <c:pt idx="425">
                  <c:v>43281</c:v>
                </c:pt>
                <c:pt idx="426">
                  <c:v>43281</c:v>
                </c:pt>
                <c:pt idx="427">
                  <c:v>43281</c:v>
                </c:pt>
                <c:pt idx="428">
                  <c:v>43281</c:v>
                </c:pt>
                <c:pt idx="429">
                  <c:v>43281</c:v>
                </c:pt>
                <c:pt idx="430">
                  <c:v>43281</c:v>
                </c:pt>
                <c:pt idx="431">
                  <c:v>43281</c:v>
                </c:pt>
                <c:pt idx="432">
                  <c:v>43281</c:v>
                </c:pt>
                <c:pt idx="433">
                  <c:v>43281</c:v>
                </c:pt>
                <c:pt idx="434">
                  <c:v>43281</c:v>
                </c:pt>
                <c:pt idx="435">
                  <c:v>43281</c:v>
                </c:pt>
                <c:pt idx="436">
                  <c:v>43281</c:v>
                </c:pt>
                <c:pt idx="437">
                  <c:v>43281</c:v>
                </c:pt>
                <c:pt idx="438">
                  <c:v>43281</c:v>
                </c:pt>
                <c:pt idx="439">
                  <c:v>43281</c:v>
                </c:pt>
                <c:pt idx="440">
                  <c:v>43281</c:v>
                </c:pt>
                <c:pt idx="441">
                  <c:v>43281</c:v>
                </c:pt>
                <c:pt idx="442">
                  <c:v>43281</c:v>
                </c:pt>
                <c:pt idx="443">
                  <c:v>43281</c:v>
                </c:pt>
                <c:pt idx="444">
                  <c:v>43281</c:v>
                </c:pt>
                <c:pt idx="445">
                  <c:v>43281</c:v>
                </c:pt>
                <c:pt idx="446">
                  <c:v>43281</c:v>
                </c:pt>
                <c:pt idx="447">
                  <c:v>43281</c:v>
                </c:pt>
                <c:pt idx="448">
                  <c:v>43281</c:v>
                </c:pt>
                <c:pt idx="449">
                  <c:v>43281</c:v>
                </c:pt>
                <c:pt idx="450">
                  <c:v>43281</c:v>
                </c:pt>
                <c:pt idx="451">
                  <c:v>43281</c:v>
                </c:pt>
                <c:pt idx="452">
                  <c:v>43281</c:v>
                </c:pt>
                <c:pt idx="453">
                  <c:v>43281</c:v>
                </c:pt>
                <c:pt idx="454">
                  <c:v>43281</c:v>
                </c:pt>
                <c:pt idx="455">
                  <c:v>43281</c:v>
                </c:pt>
                <c:pt idx="456">
                  <c:v>43281</c:v>
                </c:pt>
                <c:pt idx="457">
                  <c:v>43281</c:v>
                </c:pt>
                <c:pt idx="458">
                  <c:v>43281</c:v>
                </c:pt>
                <c:pt idx="459">
                  <c:v>43281</c:v>
                </c:pt>
                <c:pt idx="460">
                  <c:v>43281</c:v>
                </c:pt>
                <c:pt idx="461">
                  <c:v>43281</c:v>
                </c:pt>
                <c:pt idx="462">
                  <c:v>43281</c:v>
                </c:pt>
                <c:pt idx="463">
                  <c:v>43281</c:v>
                </c:pt>
                <c:pt idx="464">
                  <c:v>43281</c:v>
                </c:pt>
                <c:pt idx="465">
                  <c:v>43281</c:v>
                </c:pt>
                <c:pt idx="466">
                  <c:v>43281</c:v>
                </c:pt>
                <c:pt idx="467">
                  <c:v>43281</c:v>
                </c:pt>
                <c:pt idx="468">
                  <c:v>43281</c:v>
                </c:pt>
                <c:pt idx="469">
                  <c:v>43281</c:v>
                </c:pt>
                <c:pt idx="470">
                  <c:v>43281</c:v>
                </c:pt>
                <c:pt idx="471">
                  <c:v>43281</c:v>
                </c:pt>
                <c:pt idx="472">
                  <c:v>43281</c:v>
                </c:pt>
                <c:pt idx="473">
                  <c:v>43281</c:v>
                </c:pt>
                <c:pt idx="474">
                  <c:v>43281</c:v>
                </c:pt>
                <c:pt idx="475">
                  <c:v>43281</c:v>
                </c:pt>
                <c:pt idx="476">
                  <c:v>43281</c:v>
                </c:pt>
                <c:pt idx="477">
                  <c:v>43281</c:v>
                </c:pt>
                <c:pt idx="478">
                  <c:v>43281</c:v>
                </c:pt>
                <c:pt idx="479">
                  <c:v>43281</c:v>
                </c:pt>
                <c:pt idx="480">
                  <c:v>43281</c:v>
                </c:pt>
                <c:pt idx="481">
                  <c:v>43281</c:v>
                </c:pt>
                <c:pt idx="482">
                  <c:v>43281</c:v>
                </c:pt>
                <c:pt idx="483">
                  <c:v>43281</c:v>
                </c:pt>
                <c:pt idx="484">
                  <c:v>43281</c:v>
                </c:pt>
                <c:pt idx="485">
                  <c:v>43281</c:v>
                </c:pt>
                <c:pt idx="486">
                  <c:v>43281</c:v>
                </c:pt>
                <c:pt idx="487">
                  <c:v>43281</c:v>
                </c:pt>
                <c:pt idx="488">
                  <c:v>43281</c:v>
                </c:pt>
                <c:pt idx="489">
                  <c:v>43281</c:v>
                </c:pt>
                <c:pt idx="490">
                  <c:v>43281</c:v>
                </c:pt>
                <c:pt idx="491">
                  <c:v>43281</c:v>
                </c:pt>
                <c:pt idx="492">
                  <c:v>43281</c:v>
                </c:pt>
                <c:pt idx="493">
                  <c:v>43281</c:v>
                </c:pt>
                <c:pt idx="494">
                  <c:v>43281</c:v>
                </c:pt>
                <c:pt idx="495">
                  <c:v>43281</c:v>
                </c:pt>
                <c:pt idx="496">
                  <c:v>43281</c:v>
                </c:pt>
                <c:pt idx="497">
                  <c:v>43281</c:v>
                </c:pt>
                <c:pt idx="498">
                  <c:v>43281</c:v>
                </c:pt>
                <c:pt idx="499">
                  <c:v>43281</c:v>
                </c:pt>
                <c:pt idx="500">
                  <c:v>43281</c:v>
                </c:pt>
                <c:pt idx="501">
                  <c:v>43281</c:v>
                </c:pt>
                <c:pt idx="502">
                  <c:v>43281</c:v>
                </c:pt>
                <c:pt idx="503">
                  <c:v>43281</c:v>
                </c:pt>
                <c:pt idx="504">
                  <c:v>43281</c:v>
                </c:pt>
                <c:pt idx="505">
                  <c:v>43281</c:v>
                </c:pt>
                <c:pt idx="506">
                  <c:v>43281</c:v>
                </c:pt>
                <c:pt idx="507">
                  <c:v>43281</c:v>
                </c:pt>
                <c:pt idx="508">
                  <c:v>43281</c:v>
                </c:pt>
                <c:pt idx="509">
                  <c:v>43281</c:v>
                </c:pt>
                <c:pt idx="510">
                  <c:v>43281</c:v>
                </c:pt>
                <c:pt idx="511">
                  <c:v>43281</c:v>
                </c:pt>
                <c:pt idx="512">
                  <c:v>43281</c:v>
                </c:pt>
                <c:pt idx="513">
                  <c:v>43281</c:v>
                </c:pt>
                <c:pt idx="514">
                  <c:v>43281</c:v>
                </c:pt>
                <c:pt idx="515">
                  <c:v>43281</c:v>
                </c:pt>
                <c:pt idx="516">
                  <c:v>43281</c:v>
                </c:pt>
                <c:pt idx="517">
                  <c:v>43281</c:v>
                </c:pt>
                <c:pt idx="518">
                  <c:v>43281</c:v>
                </c:pt>
                <c:pt idx="519">
                  <c:v>43281</c:v>
                </c:pt>
                <c:pt idx="520">
                  <c:v>43281</c:v>
                </c:pt>
                <c:pt idx="521">
                  <c:v>43281</c:v>
                </c:pt>
                <c:pt idx="522">
                  <c:v>43281</c:v>
                </c:pt>
                <c:pt idx="523">
                  <c:v>43281</c:v>
                </c:pt>
                <c:pt idx="524">
                  <c:v>43281</c:v>
                </c:pt>
                <c:pt idx="525">
                  <c:v>43281</c:v>
                </c:pt>
                <c:pt idx="526">
                  <c:v>43281</c:v>
                </c:pt>
                <c:pt idx="527">
                  <c:v>43281</c:v>
                </c:pt>
                <c:pt idx="528">
                  <c:v>43281</c:v>
                </c:pt>
                <c:pt idx="529">
                  <c:v>43281</c:v>
                </c:pt>
                <c:pt idx="530">
                  <c:v>43281</c:v>
                </c:pt>
                <c:pt idx="531">
                  <c:v>43281</c:v>
                </c:pt>
                <c:pt idx="532">
                  <c:v>43281</c:v>
                </c:pt>
                <c:pt idx="533">
                  <c:v>43281</c:v>
                </c:pt>
                <c:pt idx="534">
                  <c:v>43281</c:v>
                </c:pt>
                <c:pt idx="535">
                  <c:v>43281</c:v>
                </c:pt>
                <c:pt idx="536">
                  <c:v>43281</c:v>
                </c:pt>
                <c:pt idx="537">
                  <c:v>43281</c:v>
                </c:pt>
                <c:pt idx="538">
                  <c:v>43281</c:v>
                </c:pt>
                <c:pt idx="539">
                  <c:v>43281</c:v>
                </c:pt>
                <c:pt idx="540">
                  <c:v>43281</c:v>
                </c:pt>
                <c:pt idx="541">
                  <c:v>43281</c:v>
                </c:pt>
                <c:pt idx="542">
                  <c:v>43281</c:v>
                </c:pt>
                <c:pt idx="543">
                  <c:v>43281</c:v>
                </c:pt>
                <c:pt idx="544">
                  <c:v>43281</c:v>
                </c:pt>
                <c:pt idx="545">
                  <c:v>43281</c:v>
                </c:pt>
                <c:pt idx="546">
                  <c:v>43281</c:v>
                </c:pt>
                <c:pt idx="547">
                  <c:v>43281</c:v>
                </c:pt>
                <c:pt idx="548">
                  <c:v>43281</c:v>
                </c:pt>
                <c:pt idx="549">
                  <c:v>43281</c:v>
                </c:pt>
                <c:pt idx="550">
                  <c:v>43281</c:v>
                </c:pt>
                <c:pt idx="551">
                  <c:v>43281</c:v>
                </c:pt>
                <c:pt idx="552">
                  <c:v>43281</c:v>
                </c:pt>
                <c:pt idx="553">
                  <c:v>43281</c:v>
                </c:pt>
                <c:pt idx="554">
                  <c:v>43281</c:v>
                </c:pt>
                <c:pt idx="555">
                  <c:v>43281</c:v>
                </c:pt>
                <c:pt idx="556">
                  <c:v>43281</c:v>
                </c:pt>
                <c:pt idx="557">
                  <c:v>43281</c:v>
                </c:pt>
                <c:pt idx="558">
                  <c:v>43281</c:v>
                </c:pt>
                <c:pt idx="559">
                  <c:v>43281</c:v>
                </c:pt>
                <c:pt idx="560">
                  <c:v>43281</c:v>
                </c:pt>
                <c:pt idx="561">
                  <c:v>43281</c:v>
                </c:pt>
                <c:pt idx="562">
                  <c:v>43281</c:v>
                </c:pt>
                <c:pt idx="563">
                  <c:v>43281</c:v>
                </c:pt>
                <c:pt idx="564">
                  <c:v>43281</c:v>
                </c:pt>
                <c:pt idx="565">
                  <c:v>43281</c:v>
                </c:pt>
                <c:pt idx="566">
                  <c:v>43281</c:v>
                </c:pt>
                <c:pt idx="567">
                  <c:v>43281</c:v>
                </c:pt>
                <c:pt idx="568">
                  <c:v>43281</c:v>
                </c:pt>
                <c:pt idx="569">
                  <c:v>43281</c:v>
                </c:pt>
                <c:pt idx="570">
                  <c:v>43281</c:v>
                </c:pt>
                <c:pt idx="571">
                  <c:v>43281</c:v>
                </c:pt>
                <c:pt idx="572">
                  <c:v>43281</c:v>
                </c:pt>
                <c:pt idx="573">
                  <c:v>43281</c:v>
                </c:pt>
                <c:pt idx="574">
                  <c:v>43281</c:v>
                </c:pt>
                <c:pt idx="575">
                  <c:v>43281</c:v>
                </c:pt>
                <c:pt idx="576">
                  <c:v>43281</c:v>
                </c:pt>
                <c:pt idx="577">
                  <c:v>43281</c:v>
                </c:pt>
                <c:pt idx="578">
                  <c:v>43281</c:v>
                </c:pt>
                <c:pt idx="579">
                  <c:v>43281</c:v>
                </c:pt>
                <c:pt idx="580">
                  <c:v>43281</c:v>
                </c:pt>
                <c:pt idx="581">
                  <c:v>43281</c:v>
                </c:pt>
                <c:pt idx="582">
                  <c:v>43281</c:v>
                </c:pt>
                <c:pt idx="583">
                  <c:v>43281</c:v>
                </c:pt>
                <c:pt idx="584">
                  <c:v>43281</c:v>
                </c:pt>
                <c:pt idx="585">
                  <c:v>43281</c:v>
                </c:pt>
                <c:pt idx="586">
                  <c:v>43281</c:v>
                </c:pt>
                <c:pt idx="587">
                  <c:v>43281</c:v>
                </c:pt>
                <c:pt idx="588">
                  <c:v>43281</c:v>
                </c:pt>
                <c:pt idx="589">
                  <c:v>43281</c:v>
                </c:pt>
                <c:pt idx="590">
                  <c:v>43281</c:v>
                </c:pt>
                <c:pt idx="591">
                  <c:v>43281</c:v>
                </c:pt>
                <c:pt idx="592">
                  <c:v>43281</c:v>
                </c:pt>
                <c:pt idx="593">
                  <c:v>43281</c:v>
                </c:pt>
                <c:pt idx="594">
                  <c:v>43281</c:v>
                </c:pt>
                <c:pt idx="595">
                  <c:v>43281</c:v>
                </c:pt>
                <c:pt idx="596">
                  <c:v>43281</c:v>
                </c:pt>
                <c:pt idx="597">
                  <c:v>43281</c:v>
                </c:pt>
                <c:pt idx="598">
                  <c:v>43281</c:v>
                </c:pt>
                <c:pt idx="599">
                  <c:v>43281</c:v>
                </c:pt>
                <c:pt idx="600">
                  <c:v>43281</c:v>
                </c:pt>
              </c:numCache>
            </c:numRef>
          </c:cat>
          <c:val>
            <c:numRef>
              <c:f>Berechnungen!$I$16:$I$616</c:f>
              <c:numCache>
                <c:formatCode>#,##0.00\ "€"</c:formatCode>
                <c:ptCount val="601"/>
                <c:pt idx="0">
                  <c:v>416.66666666666669</c:v>
                </c:pt>
                <c:pt idx="1">
                  <c:v>415.6529621977084</c:v>
                </c:pt>
                <c:pt idx="2">
                  <c:v>414.63503396012948</c:v>
                </c:pt>
                <c:pt idx="3">
                  <c:v>413.61286435489393</c:v>
                </c:pt>
                <c:pt idx="4">
                  <c:v>412.58643570963659</c:v>
                </c:pt>
                <c:pt idx="5">
                  <c:v>411.55573027835732</c:v>
                </c:pt>
                <c:pt idx="6">
                  <c:v>410.52073024111445</c:v>
                </c:pt>
                <c:pt idx="7">
                  <c:v>409.48141770371632</c:v>
                </c:pt>
                <c:pt idx="8">
                  <c:v>408.43777469741235</c:v>
                </c:pt>
                <c:pt idx="9">
                  <c:v>407.38978317858215</c:v>
                </c:pt>
                <c:pt idx="10">
                  <c:v>406.33742502842352</c:v>
                </c:pt>
                <c:pt idx="11">
                  <c:v>405.28068205263929</c:v>
                </c:pt>
                <c:pt idx="12">
                  <c:v>404.21953598112253</c:v>
                </c:pt>
                <c:pt idx="13">
                  <c:v>403.15396846764111</c:v>
                </c:pt>
                <c:pt idx="14">
                  <c:v>402.08396108952024</c:v>
                </c:pt>
                <c:pt idx="15">
                  <c:v>401.00949534732376</c:v>
                </c:pt>
                <c:pt idx="16">
                  <c:v>399.9305526645349</c:v>
                </c:pt>
                <c:pt idx="17">
                  <c:v>398.8471143872344</c:v>
                </c:pt>
                <c:pt idx="18">
                  <c:v>397.75916178377844</c:v>
                </c:pt>
                <c:pt idx="19">
                  <c:v>396.6666760444748</c:v>
                </c:pt>
                <c:pt idx="20">
                  <c:v>395.56963828125737</c:v>
                </c:pt>
                <c:pt idx="21">
                  <c:v>394.46802952735987</c:v>
                </c:pt>
                <c:pt idx="22">
                  <c:v>393.36183073698777</c:v>
                </c:pt>
                <c:pt idx="23">
                  <c:v>392.25102278498912</c:v>
                </c:pt>
                <c:pt idx="24">
                  <c:v>391.13558646652382</c:v>
                </c:pt>
                <c:pt idx="25">
                  <c:v>390.01550249673159</c:v>
                </c:pt>
                <c:pt idx="26">
                  <c:v>388.89075151039856</c:v>
                </c:pt>
                <c:pt idx="27">
                  <c:v>387.7613140616225</c:v>
                </c:pt>
                <c:pt idx="28">
                  <c:v>386.62717062347656</c:v>
                </c:pt>
                <c:pt idx="29">
                  <c:v>385.48830158767169</c:v>
                </c:pt>
                <c:pt idx="30">
                  <c:v>384.34468726421755</c:v>
                </c:pt>
                <c:pt idx="31">
                  <c:v>383.19630788108242</c:v>
                </c:pt>
                <c:pt idx="32">
                  <c:v>382.04314358385085</c:v>
                </c:pt>
                <c:pt idx="33">
                  <c:v>380.8851744353808</c:v>
                </c:pt>
                <c:pt idx="34">
                  <c:v>379.72238041545876</c:v>
                </c:pt>
                <c:pt idx="35">
                  <c:v>378.55474142045381</c:v>
                </c:pt>
                <c:pt idx="36">
                  <c:v>377.38223726296968</c:v>
                </c:pt>
                <c:pt idx="37">
                  <c:v>376.204847671496</c:v>
                </c:pt>
                <c:pt idx="38">
                  <c:v>375.02255229005783</c:v>
                </c:pt>
                <c:pt idx="39">
                  <c:v>373.83533067786362</c:v>
                </c:pt>
                <c:pt idx="40">
                  <c:v>372.64316230895201</c:v>
                </c:pt>
                <c:pt idx="41">
                  <c:v>371.44602657183663</c:v>
                </c:pt>
                <c:pt idx="42">
                  <c:v>370.24390276914983</c:v>
                </c:pt>
                <c:pt idx="43">
                  <c:v>369.03677011728524</c:v>
                </c:pt>
                <c:pt idx="44">
                  <c:v>367.82460774603788</c:v>
                </c:pt>
                <c:pt idx="45">
                  <c:v>366.60739469824358</c:v>
                </c:pt>
                <c:pt idx="46">
                  <c:v>365.38510992941696</c:v>
                </c:pt>
                <c:pt idx="47">
                  <c:v>364.15773230738677</c:v>
                </c:pt>
                <c:pt idx="48">
                  <c:v>362.92524061193149</c:v>
                </c:pt>
                <c:pt idx="49">
                  <c:v>361.68761353441181</c:v>
                </c:pt>
                <c:pt idx="50">
                  <c:v>360.44482967740242</c:v>
                </c:pt>
                <c:pt idx="51">
                  <c:v>359.19686755432218</c:v>
                </c:pt>
                <c:pt idx="52">
                  <c:v>357.94370558906252</c:v>
                </c:pt>
                <c:pt idx="53">
                  <c:v>356.68532211561416</c:v>
                </c:pt>
                <c:pt idx="54">
                  <c:v>355.42169537769314</c:v>
                </c:pt>
                <c:pt idx="55">
                  <c:v>354.15280352836413</c:v>
                </c:pt>
                <c:pt idx="56">
                  <c:v>352.87862462966291</c:v>
                </c:pt>
                <c:pt idx="57">
                  <c:v>351.59913665221711</c:v>
                </c:pt>
                <c:pt idx="58">
                  <c:v>350.31431747486528</c:v>
                </c:pt>
                <c:pt idx="59">
                  <c:v>349.02414488427445</c:v>
                </c:pt>
                <c:pt idx="60">
                  <c:v>347.72859657455615</c:v>
                </c:pt>
                <c:pt idx="61">
                  <c:v>346.42765014688075</c:v>
                </c:pt>
                <c:pt idx="62">
                  <c:v>345.12128310908997</c:v>
                </c:pt>
                <c:pt idx="63">
                  <c:v>343.80947287530847</c:v>
                </c:pt>
                <c:pt idx="64">
                  <c:v>342.49219676555282</c:v>
                </c:pt>
                <c:pt idx="65">
                  <c:v>341.1694320053399</c:v>
                </c:pt>
                <c:pt idx="66">
                  <c:v>339.84115572529277</c:v>
                </c:pt>
                <c:pt idx="67">
                  <c:v>338.50734496074546</c:v>
                </c:pt>
                <c:pt idx="68">
                  <c:v>337.16797665134578</c:v>
                </c:pt>
                <c:pt idx="69">
                  <c:v>335.82302764065702</c:v>
                </c:pt>
                <c:pt idx="70">
                  <c:v>334.47247467575698</c:v>
                </c:pt>
                <c:pt idx="71">
                  <c:v>333.11629440683652</c:v>
                </c:pt>
                <c:pt idx="72">
                  <c:v>331.75446338679558</c:v>
                </c:pt>
                <c:pt idx="73">
                  <c:v>330.38695807083781</c:v>
                </c:pt>
                <c:pt idx="74">
                  <c:v>329.01375481606357</c:v>
                </c:pt>
                <c:pt idx="75">
                  <c:v>327.63482988106108</c:v>
                </c:pt>
                <c:pt idx="76">
                  <c:v>326.25015942549612</c:v>
                </c:pt>
                <c:pt idx="77">
                  <c:v>324.85971950969963</c:v>
                </c:pt>
                <c:pt idx="78">
                  <c:v>323.46348609425399</c:v>
                </c:pt>
                <c:pt idx="79">
                  <c:v>322.06143503957736</c:v>
                </c:pt>
                <c:pt idx="80">
                  <c:v>320.65354210550612</c:v>
                </c:pt>
                <c:pt idx="81">
                  <c:v>319.23978295087636</c:v>
                </c:pt>
                <c:pt idx="82">
                  <c:v>317.82013313310227</c:v>
                </c:pt>
                <c:pt idx="83">
                  <c:v>316.3945681077542</c:v>
                </c:pt>
                <c:pt idx="84">
                  <c:v>314.96306322813376</c:v>
                </c:pt>
                <c:pt idx="85">
                  <c:v>313.52559374484821</c:v>
                </c:pt>
                <c:pt idx="86">
                  <c:v>312.08213480538234</c:v>
                </c:pt>
                <c:pt idx="87">
                  <c:v>310.63266145366873</c:v>
                </c:pt>
                <c:pt idx="88">
                  <c:v>309.17714862965624</c:v>
                </c:pt>
                <c:pt idx="89">
                  <c:v>307.71557116887709</c:v>
                </c:pt>
                <c:pt idx="90">
                  <c:v>306.24790380201131</c:v>
                </c:pt>
                <c:pt idx="91">
                  <c:v>304.77412115445031</c:v>
                </c:pt>
                <c:pt idx="92">
                  <c:v>303.29419774585773</c:v>
                </c:pt>
                <c:pt idx="93">
                  <c:v>301.80810798972942</c:v>
                </c:pt>
                <c:pt idx="94">
                  <c:v>300.31582619295051</c:v>
                </c:pt>
                <c:pt idx="95">
                  <c:v>298.81732655535171</c:v>
                </c:pt>
                <c:pt idx="96">
                  <c:v>297.31258316926295</c:v>
                </c:pt>
                <c:pt idx="97">
                  <c:v>295.80157001906542</c:v>
                </c:pt>
                <c:pt idx="98">
                  <c:v>294.28426098074215</c:v>
                </c:pt>
                <c:pt idx="99">
                  <c:v>292.76062982142582</c:v>
                </c:pt>
                <c:pt idx="100">
                  <c:v>291.23065019894568</c:v>
                </c:pt>
                <c:pt idx="101">
                  <c:v>289.69429566137188</c:v>
                </c:pt>
                <c:pt idx="102">
                  <c:v>288.15153964655821</c:v>
                </c:pt>
                <c:pt idx="103">
                  <c:v>286.60235548168276</c:v>
                </c:pt>
                <c:pt idx="104">
                  <c:v>285.04671638278705</c:v>
                </c:pt>
                <c:pt idx="105">
                  <c:v>283.48459545431257</c:v>
                </c:pt>
                <c:pt idx="106">
                  <c:v>281.91596568863616</c:v>
                </c:pt>
                <c:pt idx="107">
                  <c:v>280.34079996560268</c:v>
                </c:pt>
                <c:pt idx="108">
                  <c:v>278.75907105205664</c:v>
                </c:pt>
                <c:pt idx="109">
                  <c:v>277.1707516013708</c:v>
                </c:pt>
                <c:pt idx="110">
                  <c:v>275.57581415297375</c:v>
                </c:pt>
                <c:pt idx="111">
                  <c:v>273.97423113187506</c:v>
                </c:pt>
                <c:pt idx="112">
                  <c:v>272.3659748481885</c:v>
                </c:pt>
                <c:pt idx="113">
                  <c:v>270.75101749665322</c:v>
                </c:pt>
                <c:pt idx="114">
                  <c:v>269.12933115615323</c:v>
                </c:pt>
                <c:pt idx="115">
                  <c:v>267.50088778923441</c:v>
                </c:pt>
                <c:pt idx="116">
                  <c:v>265.86565924162016</c:v>
                </c:pt>
                <c:pt idx="117">
                  <c:v>264.22361724172418</c:v>
                </c:pt>
                <c:pt idx="118">
                  <c:v>262.57473340016196</c:v>
                </c:pt>
                <c:pt idx="119">
                  <c:v>260.91897920925987</c:v>
                </c:pt>
                <c:pt idx="120">
                  <c:v>259.25632604256242</c:v>
                </c:pt>
                <c:pt idx="121">
                  <c:v>257.586745154337</c:v>
                </c:pt>
                <c:pt idx="122">
                  <c:v>255.9102076790773</c:v>
                </c:pt>
                <c:pt idx="123">
                  <c:v>254.22668463100408</c:v>
                </c:pt>
                <c:pt idx="124">
                  <c:v>252.53614690356383</c:v>
                </c:pt>
                <c:pt idx="125">
                  <c:v>250.83856526892598</c:v>
                </c:pt>
                <c:pt idx="126">
                  <c:v>249.13391037747712</c:v>
                </c:pt>
                <c:pt idx="127">
                  <c:v>247.42215275731385</c:v>
                </c:pt>
                <c:pt idx="128">
                  <c:v>245.70326281373323</c:v>
                </c:pt>
                <c:pt idx="129">
                  <c:v>243.9772108287211</c:v>
                </c:pt>
                <c:pt idx="130">
                  <c:v>242.243966960438</c:v>
                </c:pt>
                <c:pt idx="131">
                  <c:v>240.50350124270378</c:v>
                </c:pt>
                <c:pt idx="132">
                  <c:v>238.75578358447896</c:v>
                </c:pt>
                <c:pt idx="133">
                  <c:v>237.00078376934491</c:v>
                </c:pt>
                <c:pt idx="134">
                  <c:v>235.2384714549811</c:v>
                </c:pt>
                <c:pt idx="135">
                  <c:v>233.4688161726408</c:v>
                </c:pt>
                <c:pt idx="136">
                  <c:v>231.69178732662405</c:v>
                </c:pt>
                <c:pt idx="137">
                  <c:v>229.90735419374892</c:v>
                </c:pt>
                <c:pt idx="138">
                  <c:v>228.11548592282011</c:v>
                </c:pt>
                <c:pt idx="139">
                  <c:v>226.31615153409584</c:v>
                </c:pt>
                <c:pt idx="140">
                  <c:v>224.5093199187518</c:v>
                </c:pt>
                <c:pt idx="141">
                  <c:v>222.69495983834386</c:v>
                </c:pt>
                <c:pt idx="142">
                  <c:v>220.87303992426757</c:v>
                </c:pt>
                <c:pt idx="143">
                  <c:v>219.04352867721596</c:v>
                </c:pt>
                <c:pt idx="144">
                  <c:v>217.20639446663495</c:v>
                </c:pt>
                <c:pt idx="145">
                  <c:v>215.36160553017649</c:v>
                </c:pt>
                <c:pt idx="146">
                  <c:v>213.5091299731495</c:v>
                </c:pt>
                <c:pt idx="147">
                  <c:v>211.64893576796825</c:v>
                </c:pt>
                <c:pt idx="148">
                  <c:v>209.78099075359873</c:v>
                </c:pt>
                <c:pt idx="149">
                  <c:v>207.9052626350026</c:v>
                </c:pt>
                <c:pt idx="150">
                  <c:v>206.02171898257907</c:v>
                </c:pt>
                <c:pt idx="151">
                  <c:v>204.13032723160373</c:v>
                </c:pt>
                <c:pt idx="152">
                  <c:v>202.23105468166602</c:v>
                </c:pt>
                <c:pt idx="153">
                  <c:v>200.32386849610353</c:v>
                </c:pt>
                <c:pt idx="154">
                  <c:v>198.40873570143455</c:v>
                </c:pt>
                <c:pt idx="155">
                  <c:v>196.48562318678776</c:v>
                </c:pt>
                <c:pt idx="156">
                  <c:v>194.55449770332999</c:v>
                </c:pt>
                <c:pt idx="157">
                  <c:v>192.61532586369114</c:v>
                </c:pt>
                <c:pt idx="158">
                  <c:v>190.66807414138711</c:v>
                </c:pt>
                <c:pt idx="159">
                  <c:v>188.71270887024014</c:v>
                </c:pt>
                <c:pt idx="160">
                  <c:v>186.74919624379672</c:v>
                </c:pt>
                <c:pt idx="161">
                  <c:v>184.77750231474309</c:v>
                </c:pt>
                <c:pt idx="162">
                  <c:v>182.79759299431848</c:v>
                </c:pt>
                <c:pt idx="163">
                  <c:v>180.80943405172539</c:v>
                </c:pt>
                <c:pt idx="164">
                  <c:v>178.81299111353817</c:v>
                </c:pt>
                <c:pt idx="165">
                  <c:v>176.80822966310851</c:v>
                </c:pt>
                <c:pt idx="166">
                  <c:v>174.79511503996869</c:v>
                </c:pt>
                <c:pt idx="167">
                  <c:v>172.77361243923249</c:v>
                </c:pt>
                <c:pt idx="168">
                  <c:v>170.74368691099323</c:v>
                </c:pt>
                <c:pt idx="169">
                  <c:v>168.70530335971964</c:v>
                </c:pt>
                <c:pt idx="170">
                  <c:v>166.65842654364906</c:v>
                </c:pt>
                <c:pt idx="171">
                  <c:v>164.6030210741782</c:v>
                </c:pt>
                <c:pt idx="172">
                  <c:v>162.53905141525121</c:v>
                </c:pt>
                <c:pt idx="173">
                  <c:v>160.46648188274534</c:v>
                </c:pt>
                <c:pt idx="174">
                  <c:v>158.38527664385404</c:v>
                </c:pt>
                <c:pt idx="175">
                  <c:v>156.29539971646736</c:v>
                </c:pt>
                <c:pt idx="176">
                  <c:v>154.19681496854992</c:v>
                </c:pt>
                <c:pt idx="177">
                  <c:v>152.08948611751615</c:v>
                </c:pt>
                <c:pt idx="178">
                  <c:v>149.97337672960307</c:v>
                </c:pt>
                <c:pt idx="179">
                  <c:v>147.84845021924033</c:v>
                </c:pt>
                <c:pt idx="180">
                  <c:v>145.71466984841777</c:v>
                </c:pt>
                <c:pt idx="181">
                  <c:v>143.57199872605011</c:v>
                </c:pt>
                <c:pt idx="182">
                  <c:v>141.42039980733924</c:v>
                </c:pt>
                <c:pt idx="183">
                  <c:v>139.25983589313373</c:v>
                </c:pt>
                <c:pt idx="184">
                  <c:v>137.0902696292857</c:v>
                </c:pt>
                <c:pt idx="185">
                  <c:v>134.911663506005</c:v>
                </c:pt>
                <c:pt idx="186">
                  <c:v>132.72397985721062</c:v>
                </c:pt>
                <c:pt idx="187">
                  <c:v>130.52718085987962</c:v>
                </c:pt>
                <c:pt idx="188">
                  <c:v>128.32122853339305</c:v>
                </c:pt>
                <c:pt idx="189">
                  <c:v>126.10608473887943</c:v>
                </c:pt>
                <c:pt idx="190">
                  <c:v>123.88171117855536</c:v>
                </c:pt>
                <c:pt idx="191">
                  <c:v>121.64806939506327</c:v>
                </c:pt>
                <c:pt idx="192">
                  <c:v>119.40512077080662</c:v>
                </c:pt>
                <c:pt idx="193">
                  <c:v>117.15282652728224</c:v>
                </c:pt>
                <c:pt idx="194">
                  <c:v>114.89114772440985</c:v>
                </c:pt>
                <c:pt idx="195">
                  <c:v>112.62004525985883</c:v>
                </c:pt>
                <c:pt idx="196">
                  <c:v>110.33947986837217</c:v>
                </c:pt>
                <c:pt idx="197">
                  <c:v>108.04941212108764</c:v>
                </c:pt>
                <c:pt idx="198">
                  <c:v>105.7498024248561</c:v>
                </c:pt>
                <c:pt idx="199">
                  <c:v>103.44061102155693</c:v>
                </c:pt>
                <c:pt idx="200">
                  <c:v>101.12179798741067</c:v>
                </c:pt>
                <c:pt idx="201">
                  <c:v>98.793323232288813</c:v>
                </c:pt>
                <c:pt idx="202">
                  <c:v>96.455146499020614</c:v>
                </c:pt>
                <c:pt idx="203">
                  <c:v>94.107227362697131</c:v>
                </c:pt>
                <c:pt idx="204">
                  <c:v>91.749525229972292</c:v>
                </c:pt>
                <c:pt idx="205">
                  <c:v>89.381999338361098</c:v>
                </c:pt>
                <c:pt idx="206">
                  <c:v>87.004608755534875</c:v>
                </c:pt>
                <c:pt idx="207">
                  <c:v>84.617312378613533</c:v>
                </c:pt>
                <c:pt idx="208">
                  <c:v>82.220068933455011</c:v>
                </c:pt>
                <c:pt idx="209">
                  <c:v>79.812836973941671</c:v>
                </c:pt>
                <c:pt idx="210">
                  <c:v>77.395574881263698</c:v>
                </c:pt>
                <c:pt idx="211">
                  <c:v>74.96824086319954</c:v>
                </c:pt>
                <c:pt idx="212">
                  <c:v>72.530792953393473</c:v>
                </c:pt>
                <c:pt idx="213">
                  <c:v>70.083189010629866</c:v>
                </c:pt>
                <c:pt idx="214">
                  <c:v>67.62538671810475</c:v>
                </c:pt>
                <c:pt idx="215">
                  <c:v>65.157343582694111</c:v>
                </c:pt>
                <c:pt idx="216">
                  <c:v>62.67901693421927</c:v>
                </c:pt>
                <c:pt idx="217">
                  <c:v>60.190363924709111</c:v>
                </c:pt>
                <c:pt idx="218">
                  <c:v>57.691341527659318</c:v>
                </c:pt>
                <c:pt idx="219">
                  <c:v>55.181906537288491</c:v>
                </c:pt>
                <c:pt idx="220">
                  <c:v>52.662015567791123</c:v>
                </c:pt>
                <c:pt idx="221">
                  <c:v>50.131625052587509</c:v>
                </c:pt>
                <c:pt idx="222">
                  <c:v>47.590691243570546</c:v>
                </c:pt>
                <c:pt idx="223">
                  <c:v>45.039170210349347</c:v>
                </c:pt>
                <c:pt idx="224">
                  <c:v>42.47701783948974</c:v>
                </c:pt>
                <c:pt idx="225">
                  <c:v>39.904189833751538</c:v>
                </c:pt>
                <c:pt idx="226">
                  <c:v>37.320641711322764</c:v>
                </c:pt>
                <c:pt idx="227">
                  <c:v>34.726328805050542</c:v>
                </c:pt>
                <c:pt idx="228">
                  <c:v>32.121206261668846</c:v>
                </c:pt>
                <c:pt idx="229">
                  <c:v>29.50522904102306</c:v>
                </c:pt>
                <c:pt idx="230">
                  <c:v>26.878351915291251</c:v>
                </c:pt>
                <c:pt idx="231">
                  <c:v>24.240529468202226</c:v>
                </c:pt>
                <c:pt idx="232">
                  <c:v>21.59171609425033</c:v>
                </c:pt>
                <c:pt idx="233">
                  <c:v>18.931865997906968</c:v>
                </c:pt>
                <c:pt idx="234">
                  <c:v>16.260933192828841</c:v>
                </c:pt>
                <c:pt idx="235">
                  <c:v>13.578871501062887</c:v>
                </c:pt>
                <c:pt idx="236">
                  <c:v>10.885634552247909</c:v>
                </c:pt>
                <c:pt idx="237">
                  <c:v>8.1811757828128719</c:v>
                </c:pt>
                <c:pt idx="238">
                  <c:v>5.4654484351718517</c:v>
                </c:pt>
                <c:pt idx="239">
                  <c:v>2.7384055569156622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D-4E0D-BDE5-D76F9B745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258272784"/>
        <c:axId val="261967896"/>
      </c:barChart>
      <c:dateAx>
        <c:axId val="2582727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1967896"/>
        <c:crosses val="autoZero"/>
        <c:auto val="1"/>
        <c:lblOffset val="100"/>
        <c:baseTimeUnit val="days"/>
      </c:dateAx>
      <c:valAx>
        <c:axId val="26196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82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198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5:K616" totalsRowShown="0" headerRowDxfId="11" dataDxfId="10">
  <autoFilter ref="B15:K616" xr:uid="{00000000-0009-0000-0100-000001000000}"/>
  <tableColumns count="10">
    <tableColumn id="1" xr3:uid="{00000000-0010-0000-0000-000001000000}" name="#" dataDxfId="9"/>
    <tableColumn id="2" xr3:uid="{00000000-0010-0000-0000-000002000000}" name="Zahldatum" dataDxfId="8">
      <calculatedColumnFormula>IF(1,Startdatum,"")</calculatedColumnFormula>
    </tableColumn>
    <tableColumn id="3" xr3:uid="{00000000-0010-0000-0000-000003000000}" name="Startsaldo" dataDxfId="7"/>
    <tableColumn id="4" xr3:uid="{00000000-0010-0000-0000-000004000000}" name="Planmässige Zahlung " dataDxfId="6">
      <calculatedColumnFormula>IF(AnzahlZahlungen&lt;&gt;"",IF(Tabelle1[[#This Row],[Startsaldo]]&lt;Rate,Tabelle1[[#This Row],[Startsaldo]],Rate),"")</calculatedColumnFormula>
    </tableColumn>
    <tableColumn id="5" xr3:uid="{00000000-0010-0000-0000-000005000000}" name="Sonderzahlung" dataDxfId="5"/>
    <tableColumn id="6" xr3:uid="{00000000-0010-0000-0000-000006000000}" name="Zahlung gesamt" dataDxfId="4">
      <calculatedColumnFormula>Tabelle1[[#This Row],[Planmässige Zahlung ]]+Tabelle1[[#This Row],[Sonderzahlung]]</calculatedColumnFormula>
    </tableColumn>
    <tableColumn id="7" xr3:uid="{00000000-0010-0000-0000-000007000000}" name="Tilgung" dataDxfId="3">
      <calculatedColumnFormula>Tabelle1[[#This Row],[Zahlung gesamt]]-Tabelle1[[#This Row],[Zinsleistung]]</calculatedColumnFormula>
    </tableColumn>
    <tableColumn id="8" xr3:uid="{00000000-0010-0000-0000-000008000000}" name="Zinsleistung" dataDxfId="2">
      <calculatedColumnFormula>IF(AnzahlZahlungen&lt;&gt;"",Tabelle1[[#This Row],[Startsaldo]]*Zinssatz/12,"")</calculatedColumnFormula>
    </tableColumn>
    <tableColumn id="9" xr3:uid="{00000000-0010-0000-0000-000009000000}" name="offen" dataDxfId="1">
      <calculatedColumnFormula>IF(AnzahlZahlungen&lt;&gt;0,Tabelle1[[#This Row],[Startsaldo]]-Tabelle1[[#This Row],[Zahlung gesamt]],"")</calculatedColumnFormula>
    </tableColumn>
    <tableColumn id="10" xr3:uid="{00000000-0010-0000-0000-00000A000000}" name="aufgelaufene Zinsen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N616"/>
  <sheetViews>
    <sheetView tabSelected="1" workbookViewId="0">
      <pane ySplit="15" topLeftCell="A16" activePane="bottomLeft" state="frozen"/>
      <selection pane="bottomLeft" activeCell="B1" sqref="B1:K1"/>
    </sheetView>
  </sheetViews>
  <sheetFormatPr baseColWidth="10" defaultRowHeight="15" x14ac:dyDescent="0.25"/>
  <cols>
    <col min="1" max="1" width="3.140625" customWidth="1"/>
    <col min="2" max="2" width="6.42578125" customWidth="1"/>
    <col min="3" max="3" width="20.7109375" customWidth="1"/>
    <col min="4" max="4" width="20.5703125" style="2" customWidth="1"/>
    <col min="5" max="5" width="22" customWidth="1"/>
    <col min="6" max="6" width="20.7109375" customWidth="1"/>
    <col min="7" max="7" width="20.7109375" style="3" customWidth="1"/>
    <col min="8" max="8" width="23.42578125" customWidth="1"/>
    <col min="9" max="9" width="20.7109375" customWidth="1"/>
    <col min="10" max="10" width="20.7109375" style="3" customWidth="1"/>
    <col min="11" max="11" width="21.28515625" customWidth="1"/>
  </cols>
  <sheetData>
    <row r="1" spans="2:14" s="3" customFormat="1" ht="41.25" customHeight="1" x14ac:dyDescent="0.25">
      <c r="B1" s="39" t="s">
        <v>30</v>
      </c>
      <c r="C1" s="39"/>
      <c r="D1" s="39"/>
      <c r="E1" s="39"/>
      <c r="F1" s="39"/>
      <c r="G1" s="39"/>
      <c r="H1" s="39"/>
      <c r="I1" s="39"/>
      <c r="J1" s="39"/>
      <c r="K1" s="39"/>
    </row>
    <row r="2" spans="2:14" ht="15" customHeight="1" thickBot="1" x14ac:dyDescent="0.3">
      <c r="B2" s="5"/>
      <c r="C2" s="45" t="s">
        <v>1</v>
      </c>
      <c r="D2" s="47" t="s">
        <v>4</v>
      </c>
      <c r="E2" s="35">
        <v>100000</v>
      </c>
      <c r="F2" s="33" t="s">
        <v>6</v>
      </c>
      <c r="G2" s="37" t="s">
        <v>11</v>
      </c>
      <c r="H2" s="29">
        <f>-PMT(Zinssatz/12,AnzahlZahlungen,Kreditsumme,Restsumme,J8)</f>
        <v>659.95573921665743</v>
      </c>
      <c r="I2" s="33" t="s">
        <v>12</v>
      </c>
      <c r="J2" s="40" t="s">
        <v>13</v>
      </c>
      <c r="K2" s="44">
        <f>EOMONTH(C16,AnzahlZahlungen-1)</f>
        <v>50556</v>
      </c>
    </row>
    <row r="3" spans="2:14" ht="16.5" customHeight="1" thickTop="1" thickBot="1" x14ac:dyDescent="0.3">
      <c r="B3" s="5"/>
      <c r="C3" s="45"/>
      <c r="D3" s="47"/>
      <c r="E3" s="35"/>
      <c r="F3" s="33"/>
      <c r="G3" s="37"/>
      <c r="H3" s="29"/>
      <c r="I3" s="33"/>
      <c r="J3" s="40"/>
      <c r="K3" s="44"/>
    </row>
    <row r="4" spans="2:14" ht="16.5" thickTop="1" thickBot="1" x14ac:dyDescent="0.3">
      <c r="B4" s="5"/>
      <c r="C4" s="45"/>
      <c r="D4" s="37" t="s">
        <v>2</v>
      </c>
      <c r="E4" s="30">
        <v>0.05</v>
      </c>
      <c r="F4" s="33"/>
      <c r="G4" s="37" t="s">
        <v>7</v>
      </c>
      <c r="H4" s="43">
        <f>(LaufzeitJahre*12)+Zusatzmonate</f>
        <v>240</v>
      </c>
      <c r="I4" s="33"/>
      <c r="J4" s="41" t="s">
        <v>27</v>
      </c>
      <c r="K4" s="21" t="str">
        <f>IF(H6&gt;0,MATCH(0,Tabelle1[[Planmässige Zahlung ]],-1)-1,"")</f>
        <v/>
      </c>
    </row>
    <row r="5" spans="2:14" ht="16.5" thickTop="1" thickBot="1" x14ac:dyDescent="0.3">
      <c r="B5" s="5"/>
      <c r="C5" s="45"/>
      <c r="D5" s="37"/>
      <c r="E5" s="30"/>
      <c r="F5" s="33"/>
      <c r="G5" s="37"/>
      <c r="H5" s="43"/>
      <c r="I5" s="33"/>
      <c r="J5" s="41"/>
      <c r="K5" s="21"/>
    </row>
    <row r="6" spans="2:14" ht="16.5" thickTop="1" thickBot="1" x14ac:dyDescent="0.3">
      <c r="B6" s="5"/>
      <c r="C6" s="45"/>
      <c r="D6" s="47" t="s">
        <v>3</v>
      </c>
      <c r="E6" s="31">
        <v>20</v>
      </c>
      <c r="F6" s="33"/>
      <c r="G6" s="37" t="s">
        <v>8</v>
      </c>
      <c r="H6" s="43">
        <f>COUNT(Tabelle1[Sonderzahlung])</f>
        <v>0</v>
      </c>
      <c r="I6" s="33"/>
      <c r="J6" s="41" t="s">
        <v>28</v>
      </c>
      <c r="K6" s="27" t="str">
        <f ca="1">IF(AnzahlZahlungNach&lt;&gt;"",INDIRECT("C"&amp;AnzahlZahlungNach+15),"")</f>
        <v/>
      </c>
    </row>
    <row r="7" spans="2:14" ht="16.5" thickTop="1" thickBot="1" x14ac:dyDescent="0.3">
      <c r="B7" s="5"/>
      <c r="C7" s="45"/>
      <c r="D7" s="47"/>
      <c r="E7" s="31"/>
      <c r="F7" s="33"/>
      <c r="G7" s="37"/>
      <c r="H7" s="43"/>
      <c r="I7" s="33"/>
      <c r="J7" s="41"/>
      <c r="K7" s="28"/>
    </row>
    <row r="8" spans="2:14" ht="16.5" customHeight="1" thickTop="1" thickBot="1" x14ac:dyDescent="0.3">
      <c r="B8" s="5"/>
      <c r="C8" s="45"/>
      <c r="D8" s="47" t="s">
        <v>22</v>
      </c>
      <c r="E8" s="31"/>
      <c r="F8" s="33"/>
      <c r="G8" s="37" t="s">
        <v>9</v>
      </c>
      <c r="H8" s="29">
        <f>SUM(Tabelle1[Sonderzahlung])</f>
        <v>0</v>
      </c>
      <c r="I8" s="33"/>
      <c r="J8" s="20">
        <f>IF(DAY(Startdatum)=1,1,0)</f>
        <v>0</v>
      </c>
      <c r="K8" s="24" t="str">
        <f>IF(J8=0,"Ja","Nein")</f>
        <v>Ja</v>
      </c>
    </row>
    <row r="9" spans="2:14" ht="16.5" customHeight="1" thickTop="1" thickBot="1" x14ac:dyDescent="0.3">
      <c r="B9" s="5"/>
      <c r="C9" s="45"/>
      <c r="D9" s="47"/>
      <c r="E9" s="31"/>
      <c r="F9" s="33"/>
      <c r="G9" s="37"/>
      <c r="H9" s="29"/>
      <c r="I9" s="33"/>
      <c r="J9" s="18" t="s">
        <v>29</v>
      </c>
      <c r="K9" s="24"/>
    </row>
    <row r="10" spans="2:14" ht="17.25" thickTop="1" thickBot="1" x14ac:dyDescent="0.3">
      <c r="B10" s="5"/>
      <c r="C10" s="45"/>
      <c r="D10" s="48" t="s">
        <v>26</v>
      </c>
      <c r="E10" s="22">
        <v>0</v>
      </c>
      <c r="F10" s="33"/>
      <c r="G10" s="36" t="s">
        <v>17</v>
      </c>
      <c r="H10" s="38">
        <f>SUM(Tabelle1[Tilgung])+K616</f>
        <v>158386.63900644088</v>
      </c>
      <c r="I10" s="33"/>
      <c r="J10" s="15"/>
      <c r="K10" s="16"/>
    </row>
    <row r="11" spans="2:14" ht="17.25" thickTop="1" thickBot="1" x14ac:dyDescent="0.3">
      <c r="B11" s="5"/>
      <c r="C11" s="45"/>
      <c r="D11" s="47"/>
      <c r="E11" s="23"/>
      <c r="F11" s="33"/>
      <c r="G11" s="37"/>
      <c r="H11" s="29"/>
      <c r="I11" s="33"/>
      <c r="J11" s="15" t="s">
        <v>24</v>
      </c>
      <c r="K11" s="17">
        <f>(H12/Kreditsumme)*(24/(AnzahlZahlungen+1))</f>
        <v>5.8147097837674154E-2</v>
      </c>
    </row>
    <row r="12" spans="2:14" ht="16.5" customHeight="1" thickTop="1" thickBot="1" x14ac:dyDescent="0.3">
      <c r="B12" s="5"/>
      <c r="C12" s="45"/>
      <c r="D12" s="37" t="s">
        <v>5</v>
      </c>
      <c r="E12" s="32">
        <v>43281</v>
      </c>
      <c r="F12" s="33"/>
      <c r="G12" s="37" t="s">
        <v>10</v>
      </c>
      <c r="H12" s="29">
        <f>K616</f>
        <v>58389.377411997804</v>
      </c>
      <c r="I12" s="33"/>
      <c r="J12" s="42" t="s">
        <v>23</v>
      </c>
      <c r="K12" s="25">
        <f>H16*12/Kreditsumme</f>
        <v>2.9194688705998888E-2</v>
      </c>
      <c r="N12" s="4"/>
    </row>
    <row r="13" spans="2:14" ht="16.5" customHeight="1" thickTop="1" thickBot="1" x14ac:dyDescent="0.3">
      <c r="B13" s="5"/>
      <c r="C13" s="46"/>
      <c r="D13" s="37"/>
      <c r="E13" s="32"/>
      <c r="F13" s="34"/>
      <c r="G13" s="37"/>
      <c r="H13" s="29"/>
      <c r="I13" s="34"/>
      <c r="J13" s="40"/>
      <c r="K13" s="26"/>
    </row>
    <row r="14" spans="2:14" ht="15.75" thickTop="1" x14ac:dyDescent="0.25">
      <c r="B14" s="5"/>
      <c r="C14" s="6"/>
      <c r="D14" s="7"/>
      <c r="E14" s="5"/>
      <c r="F14" s="5"/>
      <c r="G14" s="8"/>
      <c r="H14" s="5"/>
      <c r="I14" s="5"/>
      <c r="J14" s="9"/>
      <c r="K14" s="5"/>
    </row>
    <row r="15" spans="2:14" s="1" customFormat="1" x14ac:dyDescent="0.25">
      <c r="B15" s="10" t="s">
        <v>0</v>
      </c>
      <c r="C15" s="10" t="s">
        <v>14</v>
      </c>
      <c r="D15" s="10" t="s">
        <v>15</v>
      </c>
      <c r="E15" s="10" t="s">
        <v>21</v>
      </c>
      <c r="F15" s="10" t="s">
        <v>16</v>
      </c>
      <c r="G15" s="10" t="s">
        <v>17</v>
      </c>
      <c r="H15" s="10" t="s">
        <v>25</v>
      </c>
      <c r="I15" s="10" t="s">
        <v>18</v>
      </c>
      <c r="J15" s="10" t="s">
        <v>19</v>
      </c>
      <c r="K15" s="10" t="s">
        <v>20</v>
      </c>
    </row>
    <row r="16" spans="2:14" x14ac:dyDescent="0.25">
      <c r="B16" s="11">
        <f>IF(AnzahlZahlungen&lt;&gt;0,1,"")</f>
        <v>1</v>
      </c>
      <c r="C16" s="12">
        <f>IF(1,Startdatum,"")</f>
        <v>43281</v>
      </c>
      <c r="D16" s="13">
        <f>IF(1,Kreditsumme,"")</f>
        <v>100000</v>
      </c>
      <c r="E16" s="14">
        <f>IF(AnzahlZahlungen&lt;&gt;"",IF(Tabelle1[[#This Row],[Startsaldo]]&lt;Rate,Tabelle1[[#This Row],[Startsaldo]],Rate),"")</f>
        <v>659.95573921665743</v>
      </c>
      <c r="F16" s="19"/>
      <c r="G16" s="13">
        <f>Tabelle1[[#This Row],[Planmässige Zahlung ]]+Tabelle1[[#This Row],[Sonderzahlung]]</f>
        <v>659.95573921665743</v>
      </c>
      <c r="H16" s="14">
        <f>Tabelle1[[#This Row],[Zahlung gesamt]]-Tabelle1[[#This Row],[Zinsleistung]]</f>
        <v>243.28907254999075</v>
      </c>
      <c r="I16" s="14">
        <f>IF(AnzahlZahlungen&lt;&gt;"",Tabelle1[[#This Row],[Startsaldo]]*Zinssatz/12,"")</f>
        <v>416.66666666666669</v>
      </c>
      <c r="J16" s="13">
        <f>IF(AnzahlZahlungen&lt;&gt;0,Tabelle1[[#This Row],[Startsaldo]]-Tabelle1[[#This Row],[Zahlung gesamt]],"")</f>
        <v>99340.044260783339</v>
      </c>
      <c r="K16" s="14">
        <f>Tabelle1[[#This Row],[Zinsleistung]]</f>
        <v>416.66666666666669</v>
      </c>
    </row>
    <row r="17" spans="2:11" x14ac:dyDescent="0.25">
      <c r="B17" s="11">
        <f>B16+1</f>
        <v>2</v>
      </c>
      <c r="C17" s="12">
        <f>IF((Startdatum),EOMONTH(C16,1))</f>
        <v>43312</v>
      </c>
      <c r="D17" s="13">
        <f t="shared" ref="D17:D80" si="0">IF(D16&lt;=Rate,0,D16-H16)</f>
        <v>99756.710927450011</v>
      </c>
      <c r="E17" s="14">
        <f>IF(AnzahlZahlungen&lt;&gt;"",IF(Tabelle1[[#This Row],[Startsaldo]]&lt;Rate,Tabelle1[[#This Row],[Startsaldo]],Rate),"")</f>
        <v>659.95573921665743</v>
      </c>
      <c r="F17" s="19"/>
      <c r="G17" s="13">
        <f>Tabelle1[[#This Row],[Planmässige Zahlung ]]+Tabelle1[[#This Row],[Sonderzahlung]]</f>
        <v>659.95573921665743</v>
      </c>
      <c r="H17" s="14">
        <f>Tabelle1[[#This Row],[Zahlung gesamt]]-Tabelle1[[#This Row],[Zinsleistung]]</f>
        <v>244.30277701894903</v>
      </c>
      <c r="I17" s="14">
        <f>IF(AnzahlZahlungen&lt;&gt;"",Tabelle1[[#This Row],[Startsaldo]]*Zinssatz/12,"")</f>
        <v>415.6529621977084</v>
      </c>
      <c r="J17" s="13">
        <f>IF(AnzahlZahlungen&lt;&gt;0,Tabelle1[[#This Row],[Startsaldo]]-Tabelle1[[#This Row],[Zahlung gesamt]],"")</f>
        <v>99096.75518823335</v>
      </c>
      <c r="K17" s="14">
        <f>K16+Tabelle1[[#This Row],[Zinsleistung]]</f>
        <v>832.31962886437509</v>
      </c>
    </row>
    <row r="18" spans="2:11" x14ac:dyDescent="0.25">
      <c r="B18" s="11">
        <f t="shared" ref="B18:B81" si="1">B17+1</f>
        <v>3</v>
      </c>
      <c r="C18" s="12">
        <f>IF((Startdatum),EOMONTH(C17,1))</f>
        <v>43343</v>
      </c>
      <c r="D18" s="13">
        <f t="shared" si="0"/>
        <v>99512.40815043106</v>
      </c>
      <c r="E18" s="14">
        <f>IF(AnzahlZahlungen&lt;&gt;"",IF(Tabelle1[[#This Row],[Startsaldo]]&lt;Rate,Tabelle1[[#This Row],[Startsaldo]],Rate),"")</f>
        <v>659.95573921665743</v>
      </c>
      <c r="F18" s="19"/>
      <c r="G18" s="13">
        <f>Tabelle1[[#This Row],[Planmässige Zahlung ]]+Tabelle1[[#This Row],[Sonderzahlung]]</f>
        <v>659.95573921665743</v>
      </c>
      <c r="H18" s="14">
        <f>Tabelle1[[#This Row],[Zahlung gesamt]]-Tabelle1[[#This Row],[Zinsleistung]]</f>
        <v>245.32070525652796</v>
      </c>
      <c r="I18" s="14">
        <f>IF(AnzahlZahlungen&lt;&gt;"",Tabelle1[[#This Row],[Startsaldo]]*Zinssatz/12,"")</f>
        <v>414.63503396012948</v>
      </c>
      <c r="J18" s="13">
        <f>IF(AnzahlZahlungen&lt;&gt;0,Tabelle1[[#This Row],[Startsaldo]]-Tabelle1[[#This Row],[Zahlung gesamt]],"")</f>
        <v>98852.452411214399</v>
      </c>
      <c r="K18" s="14">
        <f>K17+Tabelle1[[#This Row],[Zinsleistung]]</f>
        <v>1246.9546628245046</v>
      </c>
    </row>
    <row r="19" spans="2:11" x14ac:dyDescent="0.25">
      <c r="B19" s="11">
        <f t="shared" si="1"/>
        <v>4</v>
      </c>
      <c r="C19" s="12">
        <f>IF((Startdatum),EOMONTH(C18,1))</f>
        <v>43373</v>
      </c>
      <c r="D19" s="13">
        <f t="shared" si="0"/>
        <v>99267.087445174533</v>
      </c>
      <c r="E19" s="14">
        <f>IF(AnzahlZahlungen&lt;&gt;"",IF(Tabelle1[[#This Row],[Startsaldo]]&lt;Rate,Tabelle1[[#This Row],[Startsaldo]],Rate),"")</f>
        <v>659.95573921665743</v>
      </c>
      <c r="F19" s="19"/>
      <c r="G19" s="13">
        <f>Tabelle1[[#This Row],[Planmässige Zahlung ]]+Tabelle1[[#This Row],[Sonderzahlung]]</f>
        <v>659.95573921665743</v>
      </c>
      <c r="H19" s="14">
        <f>Tabelle1[[#This Row],[Zahlung gesamt]]-Tabelle1[[#This Row],[Zinsleistung]]</f>
        <v>246.34287486176351</v>
      </c>
      <c r="I19" s="14">
        <f>IF(AnzahlZahlungen&lt;&gt;"",Tabelle1[[#This Row],[Startsaldo]]*Zinssatz/12,"")</f>
        <v>413.61286435489393</v>
      </c>
      <c r="J19" s="13">
        <f>IF(AnzahlZahlungen&lt;&gt;0,Tabelle1[[#This Row],[Startsaldo]]-Tabelle1[[#This Row],[Zahlung gesamt]],"")</f>
        <v>98607.131705957872</v>
      </c>
      <c r="K19" s="14">
        <f>K18+Tabelle1[[#This Row],[Zinsleistung]]</f>
        <v>1660.5675271793984</v>
      </c>
    </row>
    <row r="20" spans="2:11" x14ac:dyDescent="0.25">
      <c r="B20" s="11">
        <f t="shared" si="1"/>
        <v>5</v>
      </c>
      <c r="C20" s="12">
        <f>IF((Startdatum),EOMONTH(C19,1))</f>
        <v>43404</v>
      </c>
      <c r="D20" s="13">
        <f t="shared" si="0"/>
        <v>99020.744570312774</v>
      </c>
      <c r="E20" s="14">
        <f>IF(AnzahlZahlungen&lt;&gt;"",IF(Tabelle1[[#This Row],[Startsaldo]]&lt;Rate,Tabelle1[[#This Row],[Startsaldo]],Rate),"")</f>
        <v>659.95573921665743</v>
      </c>
      <c r="F20" s="19"/>
      <c r="G20" s="13">
        <f>Tabelle1[[#This Row],[Planmässige Zahlung ]]+Tabelle1[[#This Row],[Sonderzahlung]]</f>
        <v>659.95573921665743</v>
      </c>
      <c r="H20" s="14">
        <f>Tabelle1[[#This Row],[Zahlung gesamt]]-Tabelle1[[#This Row],[Zinsleistung]]</f>
        <v>247.36930350702085</v>
      </c>
      <c r="I20" s="14">
        <f>IF(AnzahlZahlungen&lt;&gt;"",Tabelle1[[#This Row],[Startsaldo]]*Zinssatz/12,"")</f>
        <v>412.58643570963659</v>
      </c>
      <c r="J20" s="13">
        <f>IF(AnzahlZahlungen&lt;&gt;0,Tabelle1[[#This Row],[Startsaldo]]-Tabelle1[[#This Row],[Zahlung gesamt]],"")</f>
        <v>98360.788831096113</v>
      </c>
      <c r="K20" s="14">
        <f>K19+Tabelle1[[#This Row],[Zinsleistung]]</f>
        <v>2073.153962889035</v>
      </c>
    </row>
    <row r="21" spans="2:11" x14ac:dyDescent="0.25">
      <c r="B21" s="11">
        <f t="shared" si="1"/>
        <v>6</v>
      </c>
      <c r="C21" s="12">
        <f>IF((Startdatum),EOMONTH(C20,1))</f>
        <v>43434</v>
      </c>
      <c r="D21" s="13">
        <f t="shared" si="0"/>
        <v>98773.375266805757</v>
      </c>
      <c r="E21" s="14">
        <f>IF(AnzahlZahlungen&lt;&gt;"",IF(Tabelle1[[#This Row],[Startsaldo]]&lt;Rate,Tabelle1[[#This Row],[Startsaldo]],Rate),"")</f>
        <v>659.95573921665743</v>
      </c>
      <c r="F21" s="19"/>
      <c r="G21" s="13">
        <f>Tabelle1[[#This Row],[Planmässige Zahlung ]]+Tabelle1[[#This Row],[Sonderzahlung]]</f>
        <v>659.95573921665743</v>
      </c>
      <c r="H21" s="14">
        <f>Tabelle1[[#This Row],[Zahlung gesamt]]-Tabelle1[[#This Row],[Zinsleistung]]</f>
        <v>248.40000893830012</v>
      </c>
      <c r="I21" s="14">
        <f>IF(AnzahlZahlungen&lt;&gt;"",Tabelle1[[#This Row],[Startsaldo]]*Zinssatz/12,"")</f>
        <v>411.55573027835732</v>
      </c>
      <c r="J21" s="13">
        <f>IF(AnzahlZahlungen&lt;&gt;0,Tabelle1[[#This Row],[Startsaldo]]-Tabelle1[[#This Row],[Zahlung gesamt]],"")</f>
        <v>98113.419527589096</v>
      </c>
      <c r="K21" s="14">
        <f>K20+Tabelle1[[#This Row],[Zinsleistung]]</f>
        <v>2484.7096931673923</v>
      </c>
    </row>
    <row r="22" spans="2:11" x14ac:dyDescent="0.25">
      <c r="B22" s="11">
        <f t="shared" si="1"/>
        <v>7</v>
      </c>
      <c r="C22" s="12">
        <f>IF((Startdatum),EOMONTH(C21,1))</f>
        <v>43465</v>
      </c>
      <c r="D22" s="13">
        <f t="shared" si="0"/>
        <v>98524.975257867452</v>
      </c>
      <c r="E22" s="14">
        <f>IF(AnzahlZahlungen&lt;&gt;"",IF(Tabelle1[[#This Row],[Startsaldo]]&lt;Rate,Tabelle1[[#This Row],[Startsaldo]],Rate),"")</f>
        <v>659.95573921665743</v>
      </c>
      <c r="F22" s="19"/>
      <c r="G22" s="13">
        <f>Tabelle1[[#This Row],[Planmässige Zahlung ]]+Tabelle1[[#This Row],[Sonderzahlung]]</f>
        <v>659.95573921665743</v>
      </c>
      <c r="H22" s="14">
        <f>Tabelle1[[#This Row],[Zahlung gesamt]]-Tabelle1[[#This Row],[Zinsleistung]]</f>
        <v>249.43500897554298</v>
      </c>
      <c r="I22" s="14">
        <f>IF(AnzahlZahlungen&lt;&gt;"",Tabelle1[[#This Row],[Startsaldo]]*Zinssatz/12,"")</f>
        <v>410.52073024111445</v>
      </c>
      <c r="J22" s="13">
        <f>IF(AnzahlZahlungen&lt;&gt;0,Tabelle1[[#This Row],[Startsaldo]]-Tabelle1[[#This Row],[Zahlung gesamt]],"")</f>
        <v>97865.019518650792</v>
      </c>
      <c r="K22" s="14">
        <f>K21+Tabelle1[[#This Row],[Zinsleistung]]</f>
        <v>2895.2304234085068</v>
      </c>
    </row>
    <row r="23" spans="2:11" x14ac:dyDescent="0.25">
      <c r="B23" s="11">
        <f t="shared" si="1"/>
        <v>8</v>
      </c>
      <c r="C23" s="12">
        <f>IF((Startdatum),EOMONTH(C22,1))</f>
        <v>43496</v>
      </c>
      <c r="D23" s="13">
        <f t="shared" si="0"/>
        <v>98275.540248891906</v>
      </c>
      <c r="E23" s="14">
        <f>IF(AnzahlZahlungen&lt;&gt;"",IF(Tabelle1[[#This Row],[Startsaldo]]&lt;Rate,Tabelle1[[#This Row],[Startsaldo]],Rate),"")</f>
        <v>659.95573921665743</v>
      </c>
      <c r="F23" s="19"/>
      <c r="G23" s="13">
        <f>Tabelle1[[#This Row],[Planmässige Zahlung ]]+Tabelle1[[#This Row],[Sonderzahlung]]</f>
        <v>659.95573921665743</v>
      </c>
      <c r="H23" s="14">
        <f>Tabelle1[[#This Row],[Zahlung gesamt]]-Tabelle1[[#This Row],[Zinsleistung]]</f>
        <v>250.47432151294112</v>
      </c>
      <c r="I23" s="14">
        <f>IF(AnzahlZahlungen&lt;&gt;"",Tabelle1[[#This Row],[Startsaldo]]*Zinssatz/12,"")</f>
        <v>409.48141770371632</v>
      </c>
      <c r="J23" s="13">
        <f>IF(AnzahlZahlungen&lt;&gt;0,Tabelle1[[#This Row],[Startsaldo]]-Tabelle1[[#This Row],[Zahlung gesamt]],"")</f>
        <v>97615.584509675245</v>
      </c>
      <c r="K23" s="14">
        <f>K22+Tabelle1[[#This Row],[Zinsleistung]]</f>
        <v>3304.7118411122233</v>
      </c>
    </row>
    <row r="24" spans="2:11" x14ac:dyDescent="0.25">
      <c r="B24" s="11">
        <f t="shared" si="1"/>
        <v>9</v>
      </c>
      <c r="C24" s="12">
        <f>IF((Startdatum),EOMONTH(C23,1))</f>
        <v>43524</v>
      </c>
      <c r="D24" s="13">
        <f t="shared" si="0"/>
        <v>98025.065927378964</v>
      </c>
      <c r="E24" s="14">
        <f>IF(AnzahlZahlungen&lt;&gt;"",IF(Tabelle1[[#This Row],[Startsaldo]]&lt;Rate,Tabelle1[[#This Row],[Startsaldo]],Rate),"")</f>
        <v>659.95573921665743</v>
      </c>
      <c r="F24" s="19"/>
      <c r="G24" s="13">
        <f>Tabelle1[[#This Row],[Planmässige Zahlung ]]+Tabelle1[[#This Row],[Sonderzahlung]]</f>
        <v>659.95573921665743</v>
      </c>
      <c r="H24" s="14">
        <f>Tabelle1[[#This Row],[Zahlung gesamt]]-Tabelle1[[#This Row],[Zinsleistung]]</f>
        <v>251.51796451924508</v>
      </c>
      <c r="I24" s="14">
        <f>IF(AnzahlZahlungen&lt;&gt;"",Tabelle1[[#This Row],[Startsaldo]]*Zinssatz/12,"")</f>
        <v>408.43777469741235</v>
      </c>
      <c r="J24" s="13">
        <f>IF(AnzahlZahlungen&lt;&gt;0,Tabelle1[[#This Row],[Startsaldo]]-Tabelle1[[#This Row],[Zahlung gesamt]],"")</f>
        <v>97365.110188162304</v>
      </c>
      <c r="K24" s="14">
        <f>K23+Tabelle1[[#This Row],[Zinsleistung]]</f>
        <v>3713.1496158096356</v>
      </c>
    </row>
    <row r="25" spans="2:11" x14ac:dyDescent="0.25">
      <c r="B25" s="11">
        <f t="shared" si="1"/>
        <v>10</v>
      </c>
      <c r="C25" s="12">
        <f>IF((Startdatum),EOMONTH(C24,1))</f>
        <v>43555</v>
      </c>
      <c r="D25" s="13">
        <f t="shared" si="0"/>
        <v>97773.547962859724</v>
      </c>
      <c r="E25" s="14">
        <f>IF(AnzahlZahlungen&lt;&gt;"",IF(Tabelle1[[#This Row],[Startsaldo]]&lt;Rate,Tabelle1[[#This Row],[Startsaldo]],Rate),"")</f>
        <v>659.95573921665743</v>
      </c>
      <c r="F25" s="19"/>
      <c r="G25" s="13">
        <f>Tabelle1[[#This Row],[Planmässige Zahlung ]]+Tabelle1[[#This Row],[Sonderzahlung]]</f>
        <v>659.95573921665743</v>
      </c>
      <c r="H25" s="14">
        <f>Tabelle1[[#This Row],[Zahlung gesamt]]-Tabelle1[[#This Row],[Zinsleistung]]</f>
        <v>252.56595603807529</v>
      </c>
      <c r="I25" s="14">
        <f>IF(AnzahlZahlungen&lt;&gt;"",Tabelle1[[#This Row],[Startsaldo]]*Zinssatz/12,"")</f>
        <v>407.38978317858215</v>
      </c>
      <c r="J25" s="13">
        <f>IF(AnzahlZahlungen&lt;&gt;0,Tabelle1[[#This Row],[Startsaldo]]-Tabelle1[[#This Row],[Zahlung gesamt]],"")</f>
        <v>97113.592223643063</v>
      </c>
      <c r="K25" s="14">
        <f>K24+Tabelle1[[#This Row],[Zinsleistung]]</f>
        <v>4120.5393989882177</v>
      </c>
    </row>
    <row r="26" spans="2:11" x14ac:dyDescent="0.25">
      <c r="B26" s="11">
        <f t="shared" si="1"/>
        <v>11</v>
      </c>
      <c r="C26" s="12">
        <f>IF((Startdatum),EOMONTH(C25,1))</f>
        <v>43585</v>
      </c>
      <c r="D26" s="13">
        <f t="shared" si="0"/>
        <v>97520.98200682165</v>
      </c>
      <c r="E26" s="14">
        <f>IF(AnzahlZahlungen&lt;&gt;"",IF(Tabelle1[[#This Row],[Startsaldo]]&lt;Rate,Tabelle1[[#This Row],[Startsaldo]],Rate),"")</f>
        <v>659.95573921665743</v>
      </c>
      <c r="F26" s="19"/>
      <c r="G26" s="13">
        <f>Tabelle1[[#This Row],[Planmässige Zahlung ]]+Tabelle1[[#This Row],[Sonderzahlung]]</f>
        <v>659.95573921665743</v>
      </c>
      <c r="H26" s="14">
        <f>Tabelle1[[#This Row],[Zahlung gesamt]]-Tabelle1[[#This Row],[Zinsleistung]]</f>
        <v>253.61831418823391</v>
      </c>
      <c r="I26" s="14">
        <f>IF(AnzahlZahlungen&lt;&gt;"",Tabelle1[[#This Row],[Startsaldo]]*Zinssatz/12,"")</f>
        <v>406.33742502842352</v>
      </c>
      <c r="J26" s="13">
        <f>IF(AnzahlZahlungen&lt;&gt;0,Tabelle1[[#This Row],[Startsaldo]]-Tabelle1[[#This Row],[Zahlung gesamt]],"")</f>
        <v>96861.02626760499</v>
      </c>
      <c r="K26" s="14">
        <f>K25+Tabelle1[[#This Row],[Zinsleistung]]</f>
        <v>4526.876824016641</v>
      </c>
    </row>
    <row r="27" spans="2:11" x14ac:dyDescent="0.25">
      <c r="B27" s="11">
        <f t="shared" si="1"/>
        <v>12</v>
      </c>
      <c r="C27" s="12">
        <f>IF((Startdatum),EOMONTH(C26,1))</f>
        <v>43616</v>
      </c>
      <c r="D27" s="13">
        <f t="shared" si="0"/>
        <v>97267.363692633415</v>
      </c>
      <c r="E27" s="14">
        <f>IF(AnzahlZahlungen&lt;&gt;"",IF(Tabelle1[[#This Row],[Startsaldo]]&lt;Rate,Tabelle1[[#This Row],[Startsaldo]],Rate),"")</f>
        <v>659.95573921665743</v>
      </c>
      <c r="F27" s="19"/>
      <c r="G27" s="13">
        <f>Tabelle1[[#This Row],[Planmässige Zahlung ]]+Tabelle1[[#This Row],[Sonderzahlung]]</f>
        <v>659.95573921665743</v>
      </c>
      <c r="H27" s="14">
        <f>Tabelle1[[#This Row],[Zahlung gesamt]]-Tabelle1[[#This Row],[Zinsleistung]]</f>
        <v>254.67505716401814</v>
      </c>
      <c r="I27" s="14">
        <f>IF(AnzahlZahlungen&lt;&gt;"",Tabelle1[[#This Row],[Startsaldo]]*Zinssatz/12,"")</f>
        <v>405.28068205263929</v>
      </c>
      <c r="J27" s="13">
        <f>IF(AnzahlZahlungen&lt;&gt;0,Tabelle1[[#This Row],[Startsaldo]]-Tabelle1[[#This Row],[Zahlung gesamt]],"")</f>
        <v>96607.407953416754</v>
      </c>
      <c r="K27" s="14">
        <f>K26+Tabelle1[[#This Row],[Zinsleistung]]</f>
        <v>4932.1575060692803</v>
      </c>
    </row>
    <row r="28" spans="2:11" x14ac:dyDescent="0.25">
      <c r="B28" s="11">
        <f t="shared" si="1"/>
        <v>13</v>
      </c>
      <c r="C28" s="12">
        <f>IF((Startdatum),EOMONTH(C27,1))</f>
        <v>43646</v>
      </c>
      <c r="D28" s="13">
        <f t="shared" si="0"/>
        <v>97012.6886354694</v>
      </c>
      <c r="E28" s="14">
        <f>IF(AnzahlZahlungen&lt;&gt;"",IF(Tabelle1[[#This Row],[Startsaldo]]&lt;Rate,Tabelle1[[#This Row],[Startsaldo]],Rate),"")</f>
        <v>659.95573921665743</v>
      </c>
      <c r="F28" s="19"/>
      <c r="G28" s="13">
        <f>Tabelle1[[#This Row],[Planmässige Zahlung ]]+Tabelle1[[#This Row],[Sonderzahlung]]</f>
        <v>659.95573921665743</v>
      </c>
      <c r="H28" s="14">
        <f>Tabelle1[[#This Row],[Zahlung gesamt]]-Tabelle1[[#This Row],[Zinsleistung]]</f>
        <v>255.7362032355349</v>
      </c>
      <c r="I28" s="14">
        <f>IF(AnzahlZahlungen&lt;&gt;"",Tabelle1[[#This Row],[Startsaldo]]*Zinssatz/12,"")</f>
        <v>404.21953598112253</v>
      </c>
      <c r="J28" s="13">
        <f>IF(AnzahlZahlungen&lt;&gt;0,Tabelle1[[#This Row],[Startsaldo]]-Tabelle1[[#This Row],[Zahlung gesamt]],"")</f>
        <v>96352.732896252739</v>
      </c>
      <c r="K28" s="14">
        <f>K27+Tabelle1[[#This Row],[Zinsleistung]]</f>
        <v>5336.3770420504025</v>
      </c>
    </row>
    <row r="29" spans="2:11" x14ac:dyDescent="0.25">
      <c r="B29" s="11">
        <f t="shared" si="1"/>
        <v>14</v>
      </c>
      <c r="C29" s="12">
        <f>IF((Startdatum),EOMONTH(C28,1))</f>
        <v>43677</v>
      </c>
      <c r="D29" s="13">
        <f t="shared" si="0"/>
        <v>96756.952432233869</v>
      </c>
      <c r="E29" s="14">
        <f>IF(AnzahlZahlungen&lt;&gt;"",IF(Tabelle1[[#This Row],[Startsaldo]]&lt;Rate,Tabelle1[[#This Row],[Startsaldo]],Rate),"")</f>
        <v>659.95573921665743</v>
      </c>
      <c r="F29" s="19"/>
      <c r="G29" s="13">
        <f>Tabelle1[[#This Row],[Planmässige Zahlung ]]+Tabelle1[[#This Row],[Sonderzahlung]]</f>
        <v>659.95573921665743</v>
      </c>
      <c r="H29" s="14">
        <f>Tabelle1[[#This Row],[Zahlung gesamt]]-Tabelle1[[#This Row],[Zinsleistung]]</f>
        <v>256.80177074901633</v>
      </c>
      <c r="I29" s="14">
        <f>IF(AnzahlZahlungen&lt;&gt;"",Tabelle1[[#This Row],[Startsaldo]]*Zinssatz/12,"")</f>
        <v>403.15396846764111</v>
      </c>
      <c r="J29" s="13">
        <f>IF(AnzahlZahlungen&lt;&gt;0,Tabelle1[[#This Row],[Startsaldo]]-Tabelle1[[#This Row],[Zahlung gesamt]],"")</f>
        <v>96096.996693017209</v>
      </c>
      <c r="K29" s="14">
        <f>K28+Tabelle1[[#This Row],[Zinsleistung]]</f>
        <v>5739.5310105180433</v>
      </c>
    </row>
    <row r="30" spans="2:11" x14ac:dyDescent="0.25">
      <c r="B30" s="11">
        <f t="shared" si="1"/>
        <v>15</v>
      </c>
      <c r="C30" s="12">
        <f>IF((Startdatum),EOMONTH(C29,1))</f>
        <v>43708</v>
      </c>
      <c r="D30" s="13">
        <f t="shared" si="0"/>
        <v>96500.150661484848</v>
      </c>
      <c r="E30" s="14">
        <f>IF(AnzahlZahlungen&lt;&gt;"",IF(Tabelle1[[#This Row],[Startsaldo]]&lt;Rate,Tabelle1[[#This Row],[Startsaldo]],Rate),"")</f>
        <v>659.95573921665743</v>
      </c>
      <c r="F30" s="19"/>
      <c r="G30" s="13">
        <f>Tabelle1[[#This Row],[Planmässige Zahlung ]]+Tabelle1[[#This Row],[Sonderzahlung]]</f>
        <v>659.95573921665743</v>
      </c>
      <c r="H30" s="14">
        <f>Tabelle1[[#This Row],[Zahlung gesamt]]-Tabelle1[[#This Row],[Zinsleistung]]</f>
        <v>257.87177812713719</v>
      </c>
      <c r="I30" s="14">
        <f>IF(AnzahlZahlungen&lt;&gt;"",Tabelle1[[#This Row],[Startsaldo]]*Zinssatz/12,"")</f>
        <v>402.08396108952024</v>
      </c>
      <c r="J30" s="13">
        <f>IF(AnzahlZahlungen&lt;&gt;0,Tabelle1[[#This Row],[Startsaldo]]-Tabelle1[[#This Row],[Zahlung gesamt]],"")</f>
        <v>95840.194922268187</v>
      </c>
      <c r="K30" s="14">
        <f>K29+Tabelle1[[#This Row],[Zinsleistung]]</f>
        <v>6141.6149716075633</v>
      </c>
    </row>
    <row r="31" spans="2:11" x14ac:dyDescent="0.25">
      <c r="B31" s="11">
        <f t="shared" si="1"/>
        <v>16</v>
      </c>
      <c r="C31" s="12">
        <f>IF((Startdatum),EOMONTH(C30,1))</f>
        <v>43738</v>
      </c>
      <c r="D31" s="13">
        <f t="shared" si="0"/>
        <v>96242.278883357707</v>
      </c>
      <c r="E31" s="14">
        <f>IF(AnzahlZahlungen&lt;&gt;"",IF(Tabelle1[[#This Row],[Startsaldo]]&lt;Rate,Tabelle1[[#This Row],[Startsaldo]],Rate),"")</f>
        <v>659.95573921665743</v>
      </c>
      <c r="F31" s="19"/>
      <c r="G31" s="13">
        <f>Tabelle1[[#This Row],[Planmässige Zahlung ]]+Tabelle1[[#This Row],[Sonderzahlung]]</f>
        <v>659.95573921665743</v>
      </c>
      <c r="H31" s="14">
        <f>Tabelle1[[#This Row],[Zahlung gesamt]]-Tabelle1[[#This Row],[Zinsleistung]]</f>
        <v>258.94624386933367</v>
      </c>
      <c r="I31" s="14">
        <f>IF(AnzahlZahlungen&lt;&gt;"",Tabelle1[[#This Row],[Startsaldo]]*Zinssatz/12,"")</f>
        <v>401.00949534732376</v>
      </c>
      <c r="J31" s="13">
        <f>IF(AnzahlZahlungen&lt;&gt;0,Tabelle1[[#This Row],[Startsaldo]]-Tabelle1[[#This Row],[Zahlung gesamt]],"")</f>
        <v>95582.323144141046</v>
      </c>
      <c r="K31" s="14">
        <f>K30+Tabelle1[[#This Row],[Zinsleistung]]</f>
        <v>6542.6244669548869</v>
      </c>
    </row>
    <row r="32" spans="2:11" x14ac:dyDescent="0.25">
      <c r="B32" s="11">
        <f t="shared" si="1"/>
        <v>17</v>
      </c>
      <c r="C32" s="12">
        <f>IF((Startdatum),EOMONTH(C31,1))</f>
        <v>43769</v>
      </c>
      <c r="D32" s="13">
        <f t="shared" si="0"/>
        <v>95983.332639488377</v>
      </c>
      <c r="E32" s="14">
        <f>IF(AnzahlZahlungen&lt;&gt;"",IF(Tabelle1[[#This Row],[Startsaldo]]&lt;Rate,Tabelle1[[#This Row],[Startsaldo]],Rate),"")</f>
        <v>659.95573921665743</v>
      </c>
      <c r="F32" s="19"/>
      <c r="G32" s="13">
        <f>Tabelle1[[#This Row],[Planmässige Zahlung ]]+Tabelle1[[#This Row],[Sonderzahlung]]</f>
        <v>659.95573921665743</v>
      </c>
      <c r="H32" s="14">
        <f>Tabelle1[[#This Row],[Zahlung gesamt]]-Tabelle1[[#This Row],[Zinsleistung]]</f>
        <v>260.02518655212253</v>
      </c>
      <c r="I32" s="14">
        <f>IF(AnzahlZahlungen&lt;&gt;"",Tabelle1[[#This Row],[Startsaldo]]*Zinssatz/12,"")</f>
        <v>399.9305526645349</v>
      </c>
      <c r="J32" s="13">
        <f>IF(AnzahlZahlungen&lt;&gt;0,Tabelle1[[#This Row],[Startsaldo]]-Tabelle1[[#This Row],[Zahlung gesamt]],"")</f>
        <v>95323.376900271716</v>
      </c>
      <c r="K32" s="14">
        <f>K31+Tabelle1[[#This Row],[Zinsleistung]]</f>
        <v>6942.5550196194217</v>
      </c>
    </row>
    <row r="33" spans="2:11" x14ac:dyDescent="0.25">
      <c r="B33" s="11">
        <f t="shared" si="1"/>
        <v>18</v>
      </c>
      <c r="C33" s="12">
        <f>IF((Startdatum),EOMONTH(C32,1))</f>
        <v>43799</v>
      </c>
      <c r="D33" s="13">
        <f t="shared" si="0"/>
        <v>95723.307452936249</v>
      </c>
      <c r="E33" s="14">
        <f>IF(AnzahlZahlungen&lt;&gt;"",IF(Tabelle1[[#This Row],[Startsaldo]]&lt;Rate,Tabelle1[[#This Row],[Startsaldo]],Rate),"")</f>
        <v>659.95573921665743</v>
      </c>
      <c r="F33" s="19"/>
      <c r="G33" s="13">
        <f>Tabelle1[[#This Row],[Planmässige Zahlung ]]+Tabelle1[[#This Row],[Sonderzahlung]]</f>
        <v>659.95573921665743</v>
      </c>
      <c r="H33" s="14">
        <f>Tabelle1[[#This Row],[Zahlung gesamt]]-Tabelle1[[#This Row],[Zinsleistung]]</f>
        <v>261.10862482942304</v>
      </c>
      <c r="I33" s="14">
        <f>IF(AnzahlZahlungen&lt;&gt;"",Tabelle1[[#This Row],[Startsaldo]]*Zinssatz/12,"")</f>
        <v>398.8471143872344</v>
      </c>
      <c r="J33" s="13">
        <f>IF(AnzahlZahlungen&lt;&gt;0,Tabelle1[[#This Row],[Startsaldo]]-Tabelle1[[#This Row],[Zahlung gesamt]],"")</f>
        <v>95063.351713719589</v>
      </c>
      <c r="K33" s="14">
        <f>K32+Tabelle1[[#This Row],[Zinsleistung]]</f>
        <v>7341.4021340066565</v>
      </c>
    </row>
    <row r="34" spans="2:11" x14ac:dyDescent="0.25">
      <c r="B34" s="11">
        <f t="shared" si="1"/>
        <v>19</v>
      </c>
      <c r="C34" s="12">
        <f>IF((Startdatum),EOMONTH(C33,1))</f>
        <v>43830</v>
      </c>
      <c r="D34" s="13">
        <f t="shared" si="0"/>
        <v>95462.198828106833</v>
      </c>
      <c r="E34" s="14">
        <f>IF(AnzahlZahlungen&lt;&gt;"",IF(Tabelle1[[#This Row],[Startsaldo]]&lt;Rate,Tabelle1[[#This Row],[Startsaldo]],Rate),"")</f>
        <v>659.95573921665743</v>
      </c>
      <c r="F34" s="19"/>
      <c r="G34" s="13">
        <f>Tabelle1[[#This Row],[Planmässige Zahlung ]]+Tabelle1[[#This Row],[Sonderzahlung]]</f>
        <v>659.95573921665743</v>
      </c>
      <c r="H34" s="14">
        <f>Tabelle1[[#This Row],[Zahlung gesamt]]-Tabelle1[[#This Row],[Zinsleistung]]</f>
        <v>262.196577432879</v>
      </c>
      <c r="I34" s="14">
        <f>IF(AnzahlZahlungen&lt;&gt;"",Tabelle1[[#This Row],[Startsaldo]]*Zinssatz/12,"")</f>
        <v>397.75916178377844</v>
      </c>
      <c r="J34" s="13">
        <f>IF(AnzahlZahlungen&lt;&gt;0,Tabelle1[[#This Row],[Startsaldo]]-Tabelle1[[#This Row],[Zahlung gesamt]],"")</f>
        <v>94802.243088890173</v>
      </c>
      <c r="K34" s="14">
        <f>K33+Tabelle1[[#This Row],[Zinsleistung]]</f>
        <v>7739.1612957904354</v>
      </c>
    </row>
    <row r="35" spans="2:11" x14ac:dyDescent="0.25">
      <c r="B35" s="11">
        <f t="shared" si="1"/>
        <v>20</v>
      </c>
      <c r="C35" s="12">
        <f>IF((Startdatum),EOMONTH(C34,1))</f>
        <v>43861</v>
      </c>
      <c r="D35" s="13">
        <f t="shared" si="0"/>
        <v>95200.002250673948</v>
      </c>
      <c r="E35" s="14">
        <f>IF(AnzahlZahlungen&lt;&gt;"",IF(Tabelle1[[#This Row],[Startsaldo]]&lt;Rate,Tabelle1[[#This Row],[Startsaldo]],Rate),"")</f>
        <v>659.95573921665743</v>
      </c>
      <c r="F35" s="19"/>
      <c r="G35" s="13">
        <f>Tabelle1[[#This Row],[Planmässige Zahlung ]]+Tabelle1[[#This Row],[Sonderzahlung]]</f>
        <v>659.95573921665743</v>
      </c>
      <c r="H35" s="14">
        <f>Tabelle1[[#This Row],[Zahlung gesamt]]-Tabelle1[[#This Row],[Zinsleistung]]</f>
        <v>263.28906317218264</v>
      </c>
      <c r="I35" s="14">
        <f>IF(AnzahlZahlungen&lt;&gt;"",Tabelle1[[#This Row],[Startsaldo]]*Zinssatz/12,"")</f>
        <v>396.6666760444748</v>
      </c>
      <c r="J35" s="13">
        <f>IF(AnzahlZahlungen&lt;&gt;0,Tabelle1[[#This Row],[Startsaldo]]-Tabelle1[[#This Row],[Zahlung gesamt]],"")</f>
        <v>94540.046511457287</v>
      </c>
      <c r="K35" s="14">
        <f>K34+Tabelle1[[#This Row],[Zinsleistung]]</f>
        <v>8135.8279718349104</v>
      </c>
    </row>
    <row r="36" spans="2:11" x14ac:dyDescent="0.25">
      <c r="B36" s="11">
        <f t="shared" si="1"/>
        <v>21</v>
      </c>
      <c r="C36" s="12">
        <f>IF((Startdatum),EOMONTH(C35,1))</f>
        <v>43890</v>
      </c>
      <c r="D36" s="13">
        <f t="shared" si="0"/>
        <v>94936.713187501766</v>
      </c>
      <c r="E36" s="14">
        <f>IF(AnzahlZahlungen&lt;&gt;"",IF(Tabelle1[[#This Row],[Startsaldo]]&lt;Rate,Tabelle1[[#This Row],[Startsaldo]],Rate),"")</f>
        <v>659.95573921665743</v>
      </c>
      <c r="F36" s="19"/>
      <c r="G36" s="13">
        <f>Tabelle1[[#This Row],[Planmässige Zahlung ]]+Tabelle1[[#This Row],[Sonderzahlung]]</f>
        <v>659.95573921665743</v>
      </c>
      <c r="H36" s="14">
        <f>Tabelle1[[#This Row],[Zahlung gesamt]]-Tabelle1[[#This Row],[Zinsleistung]]</f>
        <v>264.38610093540007</v>
      </c>
      <c r="I36" s="14">
        <f>IF(AnzahlZahlungen&lt;&gt;"",Tabelle1[[#This Row],[Startsaldo]]*Zinssatz/12,"")</f>
        <v>395.56963828125737</v>
      </c>
      <c r="J36" s="13">
        <f>IF(AnzahlZahlungen&lt;&gt;0,Tabelle1[[#This Row],[Startsaldo]]-Tabelle1[[#This Row],[Zahlung gesamt]],"")</f>
        <v>94276.757448285105</v>
      </c>
      <c r="K36" s="14">
        <f>K35+Tabelle1[[#This Row],[Zinsleistung]]</f>
        <v>8531.3976101161679</v>
      </c>
    </row>
    <row r="37" spans="2:11" x14ac:dyDescent="0.25">
      <c r="B37" s="11">
        <f t="shared" si="1"/>
        <v>22</v>
      </c>
      <c r="C37" s="12">
        <f>IF((Startdatum),EOMONTH(C36,1))</f>
        <v>43921</v>
      </c>
      <c r="D37" s="13">
        <f t="shared" si="0"/>
        <v>94672.327086566365</v>
      </c>
      <c r="E37" s="14">
        <f>IF(AnzahlZahlungen&lt;&gt;"",IF(Tabelle1[[#This Row],[Startsaldo]]&lt;Rate,Tabelle1[[#This Row],[Startsaldo]],Rate),"")</f>
        <v>659.95573921665743</v>
      </c>
      <c r="F37" s="19"/>
      <c r="G37" s="13">
        <f>Tabelle1[[#This Row],[Planmässige Zahlung ]]+Tabelle1[[#This Row],[Sonderzahlung]]</f>
        <v>659.95573921665743</v>
      </c>
      <c r="H37" s="14">
        <f>Tabelle1[[#This Row],[Zahlung gesamt]]-Tabelle1[[#This Row],[Zinsleistung]]</f>
        <v>265.48770968929756</v>
      </c>
      <c r="I37" s="14">
        <f>IF(AnzahlZahlungen&lt;&gt;"",Tabelle1[[#This Row],[Startsaldo]]*Zinssatz/12,"")</f>
        <v>394.46802952735987</v>
      </c>
      <c r="J37" s="13">
        <f>IF(AnzahlZahlungen&lt;&gt;0,Tabelle1[[#This Row],[Startsaldo]]-Tabelle1[[#This Row],[Zahlung gesamt]],"")</f>
        <v>94012.371347349705</v>
      </c>
      <c r="K37" s="14">
        <f>K36+Tabelle1[[#This Row],[Zinsleistung]]</f>
        <v>8925.8656396435272</v>
      </c>
    </row>
    <row r="38" spans="2:11" x14ac:dyDescent="0.25">
      <c r="B38" s="11">
        <f t="shared" si="1"/>
        <v>23</v>
      </c>
      <c r="C38" s="12">
        <f>IF((Startdatum),EOMONTH(C37,1))</f>
        <v>43951</v>
      </c>
      <c r="D38" s="13">
        <f t="shared" si="0"/>
        <v>94406.839376877062</v>
      </c>
      <c r="E38" s="14">
        <f>IF(AnzahlZahlungen&lt;&gt;"",IF(Tabelle1[[#This Row],[Startsaldo]]&lt;Rate,Tabelle1[[#This Row],[Startsaldo]],Rate),"")</f>
        <v>659.95573921665743</v>
      </c>
      <c r="F38" s="19"/>
      <c r="G38" s="13">
        <f>Tabelle1[[#This Row],[Planmässige Zahlung ]]+Tabelle1[[#This Row],[Sonderzahlung]]</f>
        <v>659.95573921665743</v>
      </c>
      <c r="H38" s="14">
        <f>Tabelle1[[#This Row],[Zahlung gesamt]]-Tabelle1[[#This Row],[Zinsleistung]]</f>
        <v>266.59390847966966</v>
      </c>
      <c r="I38" s="14">
        <f>IF(AnzahlZahlungen&lt;&gt;"",Tabelle1[[#This Row],[Startsaldo]]*Zinssatz/12,"")</f>
        <v>393.36183073698777</v>
      </c>
      <c r="J38" s="13">
        <f>IF(AnzahlZahlungen&lt;&gt;0,Tabelle1[[#This Row],[Startsaldo]]-Tabelle1[[#This Row],[Zahlung gesamt]],"")</f>
        <v>93746.883637660401</v>
      </c>
      <c r="K38" s="14">
        <f>K37+Tabelle1[[#This Row],[Zinsleistung]]</f>
        <v>9319.2274703805142</v>
      </c>
    </row>
    <row r="39" spans="2:11" x14ac:dyDescent="0.25">
      <c r="B39" s="11">
        <f t="shared" si="1"/>
        <v>24</v>
      </c>
      <c r="C39" s="12">
        <f>IF((Startdatum),EOMONTH(C38,1))</f>
        <v>43982</v>
      </c>
      <c r="D39" s="13">
        <f t="shared" si="0"/>
        <v>94140.245468397392</v>
      </c>
      <c r="E39" s="14">
        <f>IF(AnzahlZahlungen&lt;&gt;"",IF(Tabelle1[[#This Row],[Startsaldo]]&lt;Rate,Tabelle1[[#This Row],[Startsaldo]],Rate),"")</f>
        <v>659.95573921665743</v>
      </c>
      <c r="F39" s="19"/>
      <c r="G39" s="13">
        <f>Tabelle1[[#This Row],[Planmässige Zahlung ]]+Tabelle1[[#This Row],[Sonderzahlung]]</f>
        <v>659.95573921665743</v>
      </c>
      <c r="H39" s="14">
        <f>Tabelle1[[#This Row],[Zahlung gesamt]]-Tabelle1[[#This Row],[Zinsleistung]]</f>
        <v>267.70471643166832</v>
      </c>
      <c r="I39" s="14">
        <f>IF(AnzahlZahlungen&lt;&gt;"",Tabelle1[[#This Row],[Startsaldo]]*Zinssatz/12,"")</f>
        <v>392.25102278498912</v>
      </c>
      <c r="J39" s="13">
        <f>IF(AnzahlZahlungen&lt;&gt;0,Tabelle1[[#This Row],[Startsaldo]]-Tabelle1[[#This Row],[Zahlung gesamt]],"")</f>
        <v>93480.289729180731</v>
      </c>
      <c r="K39" s="14">
        <f>K38+Tabelle1[[#This Row],[Zinsleistung]]</f>
        <v>9711.4784931655031</v>
      </c>
    </row>
    <row r="40" spans="2:11" x14ac:dyDescent="0.25">
      <c r="B40" s="11">
        <f t="shared" si="1"/>
        <v>25</v>
      </c>
      <c r="C40" s="12">
        <f>IF((Startdatum),EOMONTH(C39,1))</f>
        <v>44012</v>
      </c>
      <c r="D40" s="13">
        <f t="shared" si="0"/>
        <v>93872.540751965716</v>
      </c>
      <c r="E40" s="14">
        <f>IF(AnzahlZahlungen&lt;&gt;"",IF(Tabelle1[[#This Row],[Startsaldo]]&lt;Rate,Tabelle1[[#This Row],[Startsaldo]],Rate),"")</f>
        <v>659.95573921665743</v>
      </c>
      <c r="F40" s="19"/>
      <c r="G40" s="13">
        <f>Tabelle1[[#This Row],[Planmässige Zahlung ]]+Tabelle1[[#This Row],[Sonderzahlung]]</f>
        <v>659.95573921665743</v>
      </c>
      <c r="H40" s="14">
        <f>Tabelle1[[#This Row],[Zahlung gesamt]]-Tabelle1[[#This Row],[Zinsleistung]]</f>
        <v>268.82015275013362</v>
      </c>
      <c r="I40" s="14">
        <f>IF(AnzahlZahlungen&lt;&gt;"",Tabelle1[[#This Row],[Startsaldo]]*Zinssatz/12,"")</f>
        <v>391.13558646652382</v>
      </c>
      <c r="J40" s="13">
        <f>IF(AnzahlZahlungen&lt;&gt;0,Tabelle1[[#This Row],[Startsaldo]]-Tabelle1[[#This Row],[Zahlung gesamt]],"")</f>
        <v>93212.585012749056</v>
      </c>
      <c r="K40" s="14">
        <f>K39+Tabelle1[[#This Row],[Zinsleistung]]</f>
        <v>10102.614079632027</v>
      </c>
    </row>
    <row r="41" spans="2:11" x14ac:dyDescent="0.25">
      <c r="B41" s="11">
        <f t="shared" si="1"/>
        <v>26</v>
      </c>
      <c r="C41" s="12">
        <f>IF((Startdatum),EOMONTH(C40,1))</f>
        <v>44043</v>
      </c>
      <c r="D41" s="13">
        <f t="shared" si="0"/>
        <v>93603.72059921558</v>
      </c>
      <c r="E41" s="14">
        <f>IF(AnzahlZahlungen&lt;&gt;"",IF(Tabelle1[[#This Row],[Startsaldo]]&lt;Rate,Tabelle1[[#This Row],[Startsaldo]],Rate),"")</f>
        <v>659.95573921665743</v>
      </c>
      <c r="F41" s="19"/>
      <c r="G41" s="13">
        <f>Tabelle1[[#This Row],[Planmässige Zahlung ]]+Tabelle1[[#This Row],[Sonderzahlung]]</f>
        <v>659.95573921665743</v>
      </c>
      <c r="H41" s="14">
        <f>Tabelle1[[#This Row],[Zahlung gesamt]]-Tabelle1[[#This Row],[Zinsleistung]]</f>
        <v>269.94023671992585</v>
      </c>
      <c r="I41" s="14">
        <f>IF(AnzahlZahlungen&lt;&gt;"",Tabelle1[[#This Row],[Startsaldo]]*Zinssatz/12,"")</f>
        <v>390.01550249673159</v>
      </c>
      <c r="J41" s="13">
        <f>IF(AnzahlZahlungen&lt;&gt;0,Tabelle1[[#This Row],[Startsaldo]]-Tabelle1[[#This Row],[Zahlung gesamt]],"")</f>
        <v>92943.764859998919</v>
      </c>
      <c r="K41" s="14">
        <f>K40+Tabelle1[[#This Row],[Zinsleistung]]</f>
        <v>10492.629582128759</v>
      </c>
    </row>
    <row r="42" spans="2:11" x14ac:dyDescent="0.25">
      <c r="B42" s="11">
        <f t="shared" si="1"/>
        <v>27</v>
      </c>
      <c r="C42" s="12">
        <f>IF((Startdatum),EOMONTH(C41,1))</f>
        <v>44074</v>
      </c>
      <c r="D42" s="13">
        <f t="shared" si="0"/>
        <v>93333.780362495658</v>
      </c>
      <c r="E42" s="14">
        <f>IF(AnzahlZahlungen&lt;&gt;"",IF(Tabelle1[[#This Row],[Startsaldo]]&lt;Rate,Tabelle1[[#This Row],[Startsaldo]],Rate),"")</f>
        <v>659.95573921665743</v>
      </c>
      <c r="F42" s="19"/>
      <c r="G42" s="13">
        <f>Tabelle1[[#This Row],[Planmässige Zahlung ]]+Tabelle1[[#This Row],[Sonderzahlung]]</f>
        <v>659.95573921665743</v>
      </c>
      <c r="H42" s="14">
        <f>Tabelle1[[#This Row],[Zahlung gesamt]]-Tabelle1[[#This Row],[Zinsleistung]]</f>
        <v>271.06498770625888</v>
      </c>
      <c r="I42" s="14">
        <f>IF(AnzahlZahlungen&lt;&gt;"",Tabelle1[[#This Row],[Startsaldo]]*Zinssatz/12,"")</f>
        <v>388.89075151039856</v>
      </c>
      <c r="J42" s="13">
        <f>IF(AnzahlZahlungen&lt;&gt;0,Tabelle1[[#This Row],[Startsaldo]]-Tabelle1[[#This Row],[Zahlung gesamt]],"")</f>
        <v>92673.824623278997</v>
      </c>
      <c r="K42" s="14">
        <f>K41+Tabelle1[[#This Row],[Zinsleistung]]</f>
        <v>10881.520333639157</v>
      </c>
    </row>
    <row r="43" spans="2:11" x14ac:dyDescent="0.25">
      <c r="B43" s="11">
        <f t="shared" si="1"/>
        <v>28</v>
      </c>
      <c r="C43" s="12">
        <f>IF((Startdatum),EOMONTH(C42,1))</f>
        <v>44104</v>
      </c>
      <c r="D43" s="13">
        <f t="shared" si="0"/>
        <v>93062.715374789404</v>
      </c>
      <c r="E43" s="14">
        <f>IF(AnzahlZahlungen&lt;&gt;"",IF(Tabelle1[[#This Row],[Startsaldo]]&lt;Rate,Tabelle1[[#This Row],[Startsaldo]],Rate),"")</f>
        <v>659.95573921665743</v>
      </c>
      <c r="F43" s="19"/>
      <c r="G43" s="13">
        <f>Tabelle1[[#This Row],[Planmässige Zahlung ]]+Tabelle1[[#This Row],[Sonderzahlung]]</f>
        <v>659.95573921665743</v>
      </c>
      <c r="H43" s="14">
        <f>Tabelle1[[#This Row],[Zahlung gesamt]]-Tabelle1[[#This Row],[Zinsleistung]]</f>
        <v>272.19442515503493</v>
      </c>
      <c r="I43" s="14">
        <f>IF(AnzahlZahlungen&lt;&gt;"",Tabelle1[[#This Row],[Startsaldo]]*Zinssatz/12,"")</f>
        <v>387.7613140616225</v>
      </c>
      <c r="J43" s="13">
        <f>IF(AnzahlZahlungen&lt;&gt;0,Tabelle1[[#This Row],[Startsaldo]]-Tabelle1[[#This Row],[Zahlung gesamt]],"")</f>
        <v>92402.759635572744</v>
      </c>
      <c r="K43" s="14">
        <f>K42+Tabelle1[[#This Row],[Zinsleistung]]</f>
        <v>11269.28164770078</v>
      </c>
    </row>
    <row r="44" spans="2:11" x14ac:dyDescent="0.25">
      <c r="B44" s="11">
        <f t="shared" si="1"/>
        <v>29</v>
      </c>
      <c r="C44" s="12">
        <f>IF((Startdatum),EOMONTH(C43,1))</f>
        <v>44135</v>
      </c>
      <c r="D44" s="13">
        <f t="shared" si="0"/>
        <v>92790.520949634374</v>
      </c>
      <c r="E44" s="14">
        <f>IF(AnzahlZahlungen&lt;&gt;"",IF(Tabelle1[[#This Row],[Startsaldo]]&lt;Rate,Tabelle1[[#This Row],[Startsaldo]],Rate),"")</f>
        <v>659.95573921665743</v>
      </c>
      <c r="F44" s="19"/>
      <c r="G44" s="13">
        <f>Tabelle1[[#This Row],[Planmässige Zahlung ]]+Tabelle1[[#This Row],[Sonderzahlung]]</f>
        <v>659.95573921665743</v>
      </c>
      <c r="H44" s="14">
        <f>Tabelle1[[#This Row],[Zahlung gesamt]]-Tabelle1[[#This Row],[Zinsleistung]]</f>
        <v>273.32856859318088</v>
      </c>
      <c r="I44" s="14">
        <f>IF(AnzahlZahlungen&lt;&gt;"",Tabelle1[[#This Row],[Startsaldo]]*Zinssatz/12,"")</f>
        <v>386.62717062347656</v>
      </c>
      <c r="J44" s="13">
        <f>IF(AnzahlZahlungen&lt;&gt;0,Tabelle1[[#This Row],[Startsaldo]]-Tabelle1[[#This Row],[Zahlung gesamt]],"")</f>
        <v>92130.565210417713</v>
      </c>
      <c r="K44" s="14">
        <f>K43+Tabelle1[[#This Row],[Zinsleistung]]</f>
        <v>11655.908818324257</v>
      </c>
    </row>
    <row r="45" spans="2:11" x14ac:dyDescent="0.25">
      <c r="B45" s="11">
        <f t="shared" si="1"/>
        <v>30</v>
      </c>
      <c r="C45" s="12">
        <f>IF((Startdatum),EOMONTH(C44,1))</f>
        <v>44165</v>
      </c>
      <c r="D45" s="13">
        <f t="shared" si="0"/>
        <v>92517.192381041197</v>
      </c>
      <c r="E45" s="14">
        <f>IF(AnzahlZahlungen&lt;&gt;"",IF(Tabelle1[[#This Row],[Startsaldo]]&lt;Rate,Tabelle1[[#This Row],[Startsaldo]],Rate),"")</f>
        <v>659.95573921665743</v>
      </c>
      <c r="F45" s="19"/>
      <c r="G45" s="13">
        <f>Tabelle1[[#This Row],[Planmässige Zahlung ]]+Tabelle1[[#This Row],[Sonderzahlung]]</f>
        <v>659.95573921665743</v>
      </c>
      <c r="H45" s="14">
        <f>Tabelle1[[#This Row],[Zahlung gesamt]]-Tabelle1[[#This Row],[Zinsleistung]]</f>
        <v>274.46743762898575</v>
      </c>
      <c r="I45" s="14">
        <f>IF(AnzahlZahlungen&lt;&gt;"",Tabelle1[[#This Row],[Startsaldo]]*Zinssatz/12,"")</f>
        <v>385.48830158767169</v>
      </c>
      <c r="J45" s="13">
        <f>IF(AnzahlZahlungen&lt;&gt;0,Tabelle1[[#This Row],[Startsaldo]]-Tabelle1[[#This Row],[Zahlung gesamt]],"")</f>
        <v>91857.236641824536</v>
      </c>
      <c r="K45" s="14">
        <f>K44+Tabelle1[[#This Row],[Zinsleistung]]</f>
        <v>12041.397119911928</v>
      </c>
    </row>
    <row r="46" spans="2:11" x14ac:dyDescent="0.25">
      <c r="B46" s="11">
        <f t="shared" si="1"/>
        <v>31</v>
      </c>
      <c r="C46" s="12">
        <f>IF((Startdatum),EOMONTH(C45,1))</f>
        <v>44196</v>
      </c>
      <c r="D46" s="13">
        <f t="shared" si="0"/>
        <v>92242.724943412206</v>
      </c>
      <c r="E46" s="14">
        <f>IF(AnzahlZahlungen&lt;&gt;"",IF(Tabelle1[[#This Row],[Startsaldo]]&lt;Rate,Tabelle1[[#This Row],[Startsaldo]],Rate),"")</f>
        <v>659.95573921665743</v>
      </c>
      <c r="F46" s="19"/>
      <c r="G46" s="13">
        <f>Tabelle1[[#This Row],[Planmässige Zahlung ]]+Tabelle1[[#This Row],[Sonderzahlung]]</f>
        <v>659.95573921665743</v>
      </c>
      <c r="H46" s="14">
        <f>Tabelle1[[#This Row],[Zahlung gesamt]]-Tabelle1[[#This Row],[Zinsleistung]]</f>
        <v>275.61105195243988</v>
      </c>
      <c r="I46" s="14">
        <f>IF(AnzahlZahlungen&lt;&gt;"",Tabelle1[[#This Row],[Startsaldo]]*Zinssatz/12,"")</f>
        <v>384.34468726421755</v>
      </c>
      <c r="J46" s="13">
        <f>IF(AnzahlZahlungen&lt;&gt;0,Tabelle1[[#This Row],[Startsaldo]]-Tabelle1[[#This Row],[Zahlung gesamt]],"")</f>
        <v>91582.769204195545</v>
      </c>
      <c r="K46" s="14">
        <f>K45+Tabelle1[[#This Row],[Zinsleistung]]</f>
        <v>12425.741807176146</v>
      </c>
    </row>
    <row r="47" spans="2:11" x14ac:dyDescent="0.25">
      <c r="B47" s="11">
        <f t="shared" si="1"/>
        <v>32</v>
      </c>
      <c r="C47" s="12">
        <f>IF((Startdatum),EOMONTH(C46,1))</f>
        <v>44227</v>
      </c>
      <c r="D47" s="13">
        <f t="shared" si="0"/>
        <v>91967.113891459769</v>
      </c>
      <c r="E47" s="14">
        <f>IF(AnzahlZahlungen&lt;&gt;"",IF(Tabelle1[[#This Row],[Startsaldo]]&lt;Rate,Tabelle1[[#This Row],[Startsaldo]],Rate),"")</f>
        <v>659.95573921665743</v>
      </c>
      <c r="F47" s="19"/>
      <c r="G47" s="13">
        <f>Tabelle1[[#This Row],[Planmässige Zahlung ]]+Tabelle1[[#This Row],[Sonderzahlung]]</f>
        <v>659.95573921665743</v>
      </c>
      <c r="H47" s="14">
        <f>Tabelle1[[#This Row],[Zahlung gesamt]]-Tabelle1[[#This Row],[Zinsleistung]]</f>
        <v>276.75943133557502</v>
      </c>
      <c r="I47" s="14">
        <f>IF(AnzahlZahlungen&lt;&gt;"",Tabelle1[[#This Row],[Startsaldo]]*Zinssatz/12,"")</f>
        <v>383.19630788108242</v>
      </c>
      <c r="J47" s="13">
        <f>IF(AnzahlZahlungen&lt;&gt;0,Tabelle1[[#This Row],[Startsaldo]]-Tabelle1[[#This Row],[Zahlung gesamt]],"")</f>
        <v>91307.158152243108</v>
      </c>
      <c r="K47" s="14">
        <f>K46+Tabelle1[[#This Row],[Zinsleistung]]</f>
        <v>12808.938115057228</v>
      </c>
    </row>
    <row r="48" spans="2:11" x14ac:dyDescent="0.25">
      <c r="B48" s="11">
        <f t="shared" si="1"/>
        <v>33</v>
      </c>
      <c r="C48" s="12">
        <f>IF((Startdatum),EOMONTH(C47,1))</f>
        <v>44255</v>
      </c>
      <c r="D48" s="13">
        <f t="shared" si="0"/>
        <v>91690.354460124188</v>
      </c>
      <c r="E48" s="14">
        <f>IF(AnzahlZahlungen&lt;&gt;"",IF(Tabelle1[[#This Row],[Startsaldo]]&lt;Rate,Tabelle1[[#This Row],[Startsaldo]],Rate),"")</f>
        <v>659.95573921665743</v>
      </c>
      <c r="F48" s="19"/>
      <c r="G48" s="13">
        <f>Tabelle1[[#This Row],[Planmässige Zahlung ]]+Tabelle1[[#This Row],[Sonderzahlung]]</f>
        <v>659.95573921665743</v>
      </c>
      <c r="H48" s="14">
        <f>Tabelle1[[#This Row],[Zahlung gesamt]]-Tabelle1[[#This Row],[Zinsleistung]]</f>
        <v>277.91259563280659</v>
      </c>
      <c r="I48" s="14">
        <f>IF(AnzahlZahlungen&lt;&gt;"",Tabelle1[[#This Row],[Startsaldo]]*Zinssatz/12,"")</f>
        <v>382.04314358385085</v>
      </c>
      <c r="J48" s="13">
        <f>IF(AnzahlZahlungen&lt;&gt;0,Tabelle1[[#This Row],[Startsaldo]]-Tabelle1[[#This Row],[Zahlung gesamt]],"")</f>
        <v>91030.398720907528</v>
      </c>
      <c r="K48" s="14">
        <f>K47+Tabelle1[[#This Row],[Zinsleistung]]</f>
        <v>13190.981258641079</v>
      </c>
    </row>
    <row r="49" spans="2:11" x14ac:dyDescent="0.25">
      <c r="B49" s="11">
        <f t="shared" si="1"/>
        <v>34</v>
      </c>
      <c r="C49" s="12">
        <f>IF((Startdatum),EOMONTH(C48,1))</f>
        <v>44286</v>
      </c>
      <c r="D49" s="13">
        <f t="shared" si="0"/>
        <v>91412.441864491382</v>
      </c>
      <c r="E49" s="14">
        <f>IF(AnzahlZahlungen&lt;&gt;"",IF(Tabelle1[[#This Row],[Startsaldo]]&lt;Rate,Tabelle1[[#This Row],[Startsaldo]],Rate),"")</f>
        <v>659.95573921665743</v>
      </c>
      <c r="F49" s="19"/>
      <c r="G49" s="13">
        <f>Tabelle1[[#This Row],[Planmässige Zahlung ]]+Tabelle1[[#This Row],[Sonderzahlung]]</f>
        <v>659.95573921665743</v>
      </c>
      <c r="H49" s="14">
        <f>Tabelle1[[#This Row],[Zahlung gesamt]]-Tabelle1[[#This Row],[Zinsleistung]]</f>
        <v>279.07056478127663</v>
      </c>
      <c r="I49" s="14">
        <f>IF(AnzahlZahlungen&lt;&gt;"",Tabelle1[[#This Row],[Startsaldo]]*Zinssatz/12,"")</f>
        <v>380.8851744353808</v>
      </c>
      <c r="J49" s="13">
        <f>IF(AnzahlZahlungen&lt;&gt;0,Tabelle1[[#This Row],[Startsaldo]]-Tabelle1[[#This Row],[Zahlung gesamt]],"")</f>
        <v>90752.486125274721</v>
      </c>
      <c r="K49" s="14">
        <f>K48+Tabelle1[[#This Row],[Zinsleistung]]</f>
        <v>13571.86643307646</v>
      </c>
    </row>
    <row r="50" spans="2:11" x14ac:dyDescent="0.25">
      <c r="B50" s="11">
        <f t="shared" si="1"/>
        <v>35</v>
      </c>
      <c r="C50" s="12">
        <f>IF((Startdatum),EOMONTH(C49,1))</f>
        <v>44316</v>
      </c>
      <c r="D50" s="13">
        <f t="shared" si="0"/>
        <v>91133.37129971011</v>
      </c>
      <c r="E50" s="14">
        <f>IF(AnzahlZahlungen&lt;&gt;"",IF(Tabelle1[[#This Row],[Startsaldo]]&lt;Rate,Tabelle1[[#This Row],[Startsaldo]],Rate),"")</f>
        <v>659.95573921665743</v>
      </c>
      <c r="F50" s="19"/>
      <c r="G50" s="13">
        <f>Tabelle1[[#This Row],[Planmässige Zahlung ]]+Tabelle1[[#This Row],[Sonderzahlung]]</f>
        <v>659.95573921665743</v>
      </c>
      <c r="H50" s="14">
        <f>Tabelle1[[#This Row],[Zahlung gesamt]]-Tabelle1[[#This Row],[Zinsleistung]]</f>
        <v>280.23335880119868</v>
      </c>
      <c r="I50" s="14">
        <f>IF(AnzahlZahlungen&lt;&gt;"",Tabelle1[[#This Row],[Startsaldo]]*Zinssatz/12,"")</f>
        <v>379.72238041545876</v>
      </c>
      <c r="J50" s="13">
        <f>IF(AnzahlZahlungen&lt;&gt;0,Tabelle1[[#This Row],[Startsaldo]]-Tabelle1[[#This Row],[Zahlung gesamt]],"")</f>
        <v>90473.415560493449</v>
      </c>
      <c r="K50" s="14">
        <f>K49+Tabelle1[[#This Row],[Zinsleistung]]</f>
        <v>13951.588813491919</v>
      </c>
    </row>
    <row r="51" spans="2:11" x14ac:dyDescent="0.25">
      <c r="B51" s="11">
        <f t="shared" si="1"/>
        <v>36</v>
      </c>
      <c r="C51" s="12">
        <f>IF((Startdatum),EOMONTH(C50,1))</f>
        <v>44347</v>
      </c>
      <c r="D51" s="13">
        <f t="shared" si="0"/>
        <v>90853.137940908913</v>
      </c>
      <c r="E51" s="14">
        <f>IF(AnzahlZahlungen&lt;&gt;"",IF(Tabelle1[[#This Row],[Startsaldo]]&lt;Rate,Tabelle1[[#This Row],[Startsaldo]],Rate),"")</f>
        <v>659.95573921665743</v>
      </c>
      <c r="F51" s="19"/>
      <c r="G51" s="13">
        <f>Tabelle1[[#This Row],[Planmässige Zahlung ]]+Tabelle1[[#This Row],[Sonderzahlung]]</f>
        <v>659.95573921665743</v>
      </c>
      <c r="H51" s="14">
        <f>Tabelle1[[#This Row],[Zahlung gesamt]]-Tabelle1[[#This Row],[Zinsleistung]]</f>
        <v>281.40099779620363</v>
      </c>
      <c r="I51" s="14">
        <f>IF(AnzahlZahlungen&lt;&gt;"",Tabelle1[[#This Row],[Startsaldo]]*Zinssatz/12,"")</f>
        <v>378.55474142045381</v>
      </c>
      <c r="J51" s="13">
        <f>IF(AnzahlZahlungen&lt;&gt;0,Tabelle1[[#This Row],[Startsaldo]]-Tabelle1[[#This Row],[Zahlung gesamt]],"")</f>
        <v>90193.182201692252</v>
      </c>
      <c r="K51" s="14">
        <f>K50+Tabelle1[[#This Row],[Zinsleistung]]</f>
        <v>14330.143554912373</v>
      </c>
    </row>
    <row r="52" spans="2:11" x14ac:dyDescent="0.25">
      <c r="B52" s="11">
        <f t="shared" si="1"/>
        <v>37</v>
      </c>
      <c r="C52" s="12">
        <f>IF((Startdatum),EOMONTH(C51,1))</f>
        <v>44377</v>
      </c>
      <c r="D52" s="13">
        <f t="shared" si="0"/>
        <v>90571.736943112715</v>
      </c>
      <c r="E52" s="14">
        <f>IF(AnzahlZahlungen&lt;&gt;"",IF(Tabelle1[[#This Row],[Startsaldo]]&lt;Rate,Tabelle1[[#This Row],[Startsaldo]],Rate),"")</f>
        <v>659.95573921665743</v>
      </c>
      <c r="F52" s="19"/>
      <c r="G52" s="13">
        <f>Tabelle1[[#This Row],[Planmässige Zahlung ]]+Tabelle1[[#This Row],[Sonderzahlung]]</f>
        <v>659.95573921665743</v>
      </c>
      <c r="H52" s="14">
        <f>Tabelle1[[#This Row],[Zahlung gesamt]]-Tabelle1[[#This Row],[Zinsleistung]]</f>
        <v>282.57350195368775</v>
      </c>
      <c r="I52" s="14">
        <f>IF(AnzahlZahlungen&lt;&gt;"",Tabelle1[[#This Row],[Startsaldo]]*Zinssatz/12,"")</f>
        <v>377.38223726296968</v>
      </c>
      <c r="J52" s="13">
        <f>IF(AnzahlZahlungen&lt;&gt;0,Tabelle1[[#This Row],[Startsaldo]]-Tabelle1[[#This Row],[Zahlung gesamt]],"")</f>
        <v>89911.781203896055</v>
      </c>
      <c r="K52" s="14">
        <f>K51+Tabelle1[[#This Row],[Zinsleistung]]</f>
        <v>14707.525792175342</v>
      </c>
    </row>
    <row r="53" spans="2:11" x14ac:dyDescent="0.25">
      <c r="B53" s="11">
        <f t="shared" si="1"/>
        <v>38</v>
      </c>
      <c r="C53" s="12">
        <f>IF((Startdatum),EOMONTH(C52,1))</f>
        <v>44408</v>
      </c>
      <c r="D53" s="13">
        <f t="shared" si="0"/>
        <v>90289.163441159035</v>
      </c>
      <c r="E53" s="14">
        <f>IF(AnzahlZahlungen&lt;&gt;"",IF(Tabelle1[[#This Row],[Startsaldo]]&lt;Rate,Tabelle1[[#This Row],[Startsaldo]],Rate),"")</f>
        <v>659.95573921665743</v>
      </c>
      <c r="F53" s="19"/>
      <c r="G53" s="13">
        <f>Tabelle1[[#This Row],[Planmässige Zahlung ]]+Tabelle1[[#This Row],[Sonderzahlung]]</f>
        <v>659.95573921665743</v>
      </c>
      <c r="H53" s="14">
        <f>Tabelle1[[#This Row],[Zahlung gesamt]]-Tabelle1[[#This Row],[Zinsleistung]]</f>
        <v>283.75089154516144</v>
      </c>
      <c r="I53" s="14">
        <f>IF(AnzahlZahlungen&lt;&gt;"",Tabelle1[[#This Row],[Startsaldo]]*Zinssatz/12,"")</f>
        <v>376.204847671496</v>
      </c>
      <c r="J53" s="13">
        <f>IF(AnzahlZahlungen&lt;&gt;0,Tabelle1[[#This Row],[Startsaldo]]-Tabelle1[[#This Row],[Zahlung gesamt]],"")</f>
        <v>89629.207701942374</v>
      </c>
      <c r="K53" s="14">
        <f>K52+Tabelle1[[#This Row],[Zinsleistung]]</f>
        <v>15083.730639846837</v>
      </c>
    </row>
    <row r="54" spans="2:11" x14ac:dyDescent="0.25">
      <c r="B54" s="11">
        <f t="shared" si="1"/>
        <v>39</v>
      </c>
      <c r="C54" s="12">
        <f>IF((Startdatum),EOMONTH(C53,1))</f>
        <v>44439</v>
      </c>
      <c r="D54" s="13">
        <f t="shared" si="0"/>
        <v>90005.412549613873</v>
      </c>
      <c r="E54" s="14">
        <f>IF(AnzahlZahlungen&lt;&gt;"",IF(Tabelle1[[#This Row],[Startsaldo]]&lt;Rate,Tabelle1[[#This Row],[Startsaldo]],Rate),"")</f>
        <v>659.95573921665743</v>
      </c>
      <c r="F54" s="19"/>
      <c r="G54" s="13">
        <f>Tabelle1[[#This Row],[Planmässige Zahlung ]]+Tabelle1[[#This Row],[Sonderzahlung]]</f>
        <v>659.95573921665743</v>
      </c>
      <c r="H54" s="14">
        <f>Tabelle1[[#This Row],[Zahlung gesamt]]-Tabelle1[[#This Row],[Zinsleistung]]</f>
        <v>284.9331869265996</v>
      </c>
      <c r="I54" s="14">
        <f>IF(AnzahlZahlungen&lt;&gt;"",Tabelle1[[#This Row],[Startsaldo]]*Zinssatz/12,"")</f>
        <v>375.02255229005783</v>
      </c>
      <c r="J54" s="13">
        <f>IF(AnzahlZahlungen&lt;&gt;0,Tabelle1[[#This Row],[Startsaldo]]-Tabelle1[[#This Row],[Zahlung gesamt]],"")</f>
        <v>89345.456810397212</v>
      </c>
      <c r="K54" s="14">
        <f>K53+Tabelle1[[#This Row],[Zinsleistung]]</f>
        <v>15458.753192136895</v>
      </c>
    </row>
    <row r="55" spans="2:11" x14ac:dyDescent="0.25">
      <c r="B55" s="11">
        <f t="shared" si="1"/>
        <v>40</v>
      </c>
      <c r="C55" s="12">
        <f>IF((Startdatum),EOMONTH(C54,1))</f>
        <v>44469</v>
      </c>
      <c r="D55" s="13">
        <f t="shared" si="0"/>
        <v>89720.479362687271</v>
      </c>
      <c r="E55" s="14">
        <f>IF(AnzahlZahlungen&lt;&gt;"",IF(Tabelle1[[#This Row],[Startsaldo]]&lt;Rate,Tabelle1[[#This Row],[Startsaldo]],Rate),"")</f>
        <v>659.95573921665743</v>
      </c>
      <c r="F55" s="19"/>
      <c r="G55" s="13">
        <f>Tabelle1[[#This Row],[Planmässige Zahlung ]]+Tabelle1[[#This Row],[Sonderzahlung]]</f>
        <v>659.95573921665743</v>
      </c>
      <c r="H55" s="14">
        <f>Tabelle1[[#This Row],[Zahlung gesamt]]-Tabelle1[[#This Row],[Zinsleistung]]</f>
        <v>286.12040853879381</v>
      </c>
      <c r="I55" s="14">
        <f>IF(AnzahlZahlungen&lt;&gt;"",Tabelle1[[#This Row],[Startsaldo]]*Zinssatz/12,"")</f>
        <v>373.83533067786362</v>
      </c>
      <c r="J55" s="13">
        <f>IF(AnzahlZahlungen&lt;&gt;0,Tabelle1[[#This Row],[Startsaldo]]-Tabelle1[[#This Row],[Zahlung gesamt]],"")</f>
        <v>89060.52362347061</v>
      </c>
      <c r="K55" s="14">
        <f>K54+Tabelle1[[#This Row],[Zinsleistung]]</f>
        <v>15832.58852281476</v>
      </c>
    </row>
    <row r="56" spans="2:11" x14ac:dyDescent="0.25">
      <c r="B56" s="11">
        <f t="shared" si="1"/>
        <v>41</v>
      </c>
      <c r="C56" s="12">
        <f>IF((Startdatum),EOMONTH(C55,1))</f>
        <v>44500</v>
      </c>
      <c r="D56" s="13">
        <f t="shared" si="0"/>
        <v>89434.358954148483</v>
      </c>
      <c r="E56" s="14">
        <f>IF(AnzahlZahlungen&lt;&gt;"",IF(Tabelle1[[#This Row],[Startsaldo]]&lt;Rate,Tabelle1[[#This Row],[Startsaldo]],Rate),"")</f>
        <v>659.95573921665743</v>
      </c>
      <c r="F56" s="19"/>
      <c r="G56" s="13">
        <f>Tabelle1[[#This Row],[Planmässige Zahlung ]]+Tabelle1[[#This Row],[Sonderzahlung]]</f>
        <v>659.95573921665743</v>
      </c>
      <c r="H56" s="14">
        <f>Tabelle1[[#This Row],[Zahlung gesamt]]-Tabelle1[[#This Row],[Zinsleistung]]</f>
        <v>287.31257690770542</v>
      </c>
      <c r="I56" s="14">
        <f>IF(AnzahlZahlungen&lt;&gt;"",Tabelle1[[#This Row],[Startsaldo]]*Zinssatz/12,"")</f>
        <v>372.64316230895201</v>
      </c>
      <c r="J56" s="13">
        <f>IF(AnzahlZahlungen&lt;&gt;0,Tabelle1[[#This Row],[Startsaldo]]-Tabelle1[[#This Row],[Zahlung gesamt]],"")</f>
        <v>88774.403214931823</v>
      </c>
      <c r="K56" s="14">
        <f>K55+Tabelle1[[#This Row],[Zinsleistung]]</f>
        <v>16205.231685123712</v>
      </c>
    </row>
    <row r="57" spans="2:11" x14ac:dyDescent="0.25">
      <c r="B57" s="11">
        <f t="shared" si="1"/>
        <v>42</v>
      </c>
      <c r="C57" s="12">
        <f>IF((Startdatum),EOMONTH(C56,1))</f>
        <v>44530</v>
      </c>
      <c r="D57" s="13">
        <f t="shared" si="0"/>
        <v>89147.046377240782</v>
      </c>
      <c r="E57" s="14">
        <f>IF(AnzahlZahlungen&lt;&gt;"",IF(Tabelle1[[#This Row],[Startsaldo]]&lt;Rate,Tabelle1[[#This Row],[Startsaldo]],Rate),"")</f>
        <v>659.95573921665743</v>
      </c>
      <c r="F57" s="19"/>
      <c r="G57" s="13">
        <f>Tabelle1[[#This Row],[Planmässige Zahlung ]]+Tabelle1[[#This Row],[Sonderzahlung]]</f>
        <v>659.95573921665743</v>
      </c>
      <c r="H57" s="14">
        <f>Tabelle1[[#This Row],[Zahlung gesamt]]-Tabelle1[[#This Row],[Zinsleistung]]</f>
        <v>288.50971264482081</v>
      </c>
      <c r="I57" s="14">
        <f>IF(AnzahlZahlungen&lt;&gt;"",Tabelle1[[#This Row],[Startsaldo]]*Zinssatz/12,"")</f>
        <v>371.44602657183663</v>
      </c>
      <c r="J57" s="13">
        <f>IF(AnzahlZahlungen&lt;&gt;0,Tabelle1[[#This Row],[Startsaldo]]-Tabelle1[[#This Row],[Zahlung gesamt]],"")</f>
        <v>88487.090638024121</v>
      </c>
      <c r="K57" s="14">
        <f>K56+Tabelle1[[#This Row],[Zinsleistung]]</f>
        <v>16576.677711695549</v>
      </c>
    </row>
    <row r="58" spans="2:11" x14ac:dyDescent="0.25">
      <c r="B58" s="11">
        <f t="shared" si="1"/>
        <v>43</v>
      </c>
      <c r="C58" s="12">
        <f>IF((Startdatum),EOMONTH(C57,1))</f>
        <v>44561</v>
      </c>
      <c r="D58" s="13">
        <f t="shared" si="0"/>
        <v>88858.536664595958</v>
      </c>
      <c r="E58" s="14">
        <f>IF(AnzahlZahlungen&lt;&gt;"",IF(Tabelle1[[#This Row],[Startsaldo]]&lt;Rate,Tabelle1[[#This Row],[Startsaldo]],Rate),"")</f>
        <v>659.95573921665743</v>
      </c>
      <c r="F58" s="19"/>
      <c r="G58" s="13">
        <f>Tabelle1[[#This Row],[Planmässige Zahlung ]]+Tabelle1[[#This Row],[Sonderzahlung]]</f>
        <v>659.95573921665743</v>
      </c>
      <c r="H58" s="14">
        <f>Tabelle1[[#This Row],[Zahlung gesamt]]-Tabelle1[[#This Row],[Zinsleistung]]</f>
        <v>289.71183644750761</v>
      </c>
      <c r="I58" s="14">
        <f>IF(AnzahlZahlungen&lt;&gt;"",Tabelle1[[#This Row],[Startsaldo]]*Zinssatz/12,"")</f>
        <v>370.24390276914983</v>
      </c>
      <c r="J58" s="13">
        <f>IF(AnzahlZahlungen&lt;&gt;0,Tabelle1[[#This Row],[Startsaldo]]-Tabelle1[[#This Row],[Zahlung gesamt]],"")</f>
        <v>88198.580925379298</v>
      </c>
      <c r="K58" s="14">
        <f>K57+Tabelle1[[#This Row],[Zinsleistung]]</f>
        <v>16946.9216144647</v>
      </c>
    </row>
    <row r="59" spans="2:11" x14ac:dyDescent="0.25">
      <c r="B59" s="11">
        <f t="shared" si="1"/>
        <v>44</v>
      </c>
      <c r="C59" s="12">
        <f>IF((Startdatum),EOMONTH(C58,1))</f>
        <v>44592</v>
      </c>
      <c r="D59" s="13">
        <f t="shared" si="0"/>
        <v>88568.824828148456</v>
      </c>
      <c r="E59" s="14">
        <f>IF(AnzahlZahlungen&lt;&gt;"",IF(Tabelle1[[#This Row],[Startsaldo]]&lt;Rate,Tabelle1[[#This Row],[Startsaldo]],Rate),"")</f>
        <v>659.95573921665743</v>
      </c>
      <c r="F59" s="19"/>
      <c r="G59" s="13">
        <f>Tabelle1[[#This Row],[Planmässige Zahlung ]]+Tabelle1[[#This Row],[Sonderzahlung]]</f>
        <v>659.95573921665743</v>
      </c>
      <c r="H59" s="14">
        <f>Tabelle1[[#This Row],[Zahlung gesamt]]-Tabelle1[[#This Row],[Zinsleistung]]</f>
        <v>290.91896909937219</v>
      </c>
      <c r="I59" s="14">
        <f>IF(AnzahlZahlungen&lt;&gt;"",Tabelle1[[#This Row],[Startsaldo]]*Zinssatz/12,"")</f>
        <v>369.03677011728524</v>
      </c>
      <c r="J59" s="13">
        <f>IF(AnzahlZahlungen&lt;&gt;0,Tabelle1[[#This Row],[Startsaldo]]-Tabelle1[[#This Row],[Zahlung gesamt]],"")</f>
        <v>87908.869088931795</v>
      </c>
      <c r="K59" s="14">
        <f>K58+Tabelle1[[#This Row],[Zinsleistung]]</f>
        <v>17315.958384581983</v>
      </c>
    </row>
    <row r="60" spans="2:11" x14ac:dyDescent="0.25">
      <c r="B60" s="11">
        <f t="shared" si="1"/>
        <v>45</v>
      </c>
      <c r="C60" s="12">
        <f>IF((Startdatum),EOMONTH(C59,1))</f>
        <v>44620</v>
      </c>
      <c r="D60" s="13">
        <f t="shared" si="0"/>
        <v>88277.905859049089</v>
      </c>
      <c r="E60" s="14">
        <f>IF(AnzahlZahlungen&lt;&gt;"",IF(Tabelle1[[#This Row],[Startsaldo]]&lt;Rate,Tabelle1[[#This Row],[Startsaldo]],Rate),"")</f>
        <v>659.95573921665743</v>
      </c>
      <c r="F60" s="19"/>
      <c r="G60" s="13">
        <f>Tabelle1[[#This Row],[Planmässige Zahlung ]]+Tabelle1[[#This Row],[Sonderzahlung]]</f>
        <v>659.95573921665743</v>
      </c>
      <c r="H60" s="14">
        <f>Tabelle1[[#This Row],[Zahlung gesamt]]-Tabelle1[[#This Row],[Zinsleistung]]</f>
        <v>292.13113147061955</v>
      </c>
      <c r="I60" s="14">
        <f>IF(AnzahlZahlungen&lt;&gt;"",Tabelle1[[#This Row],[Startsaldo]]*Zinssatz/12,"")</f>
        <v>367.82460774603788</v>
      </c>
      <c r="J60" s="13">
        <f>IF(AnzahlZahlungen&lt;&gt;0,Tabelle1[[#This Row],[Startsaldo]]-Tabelle1[[#This Row],[Zahlung gesamt]],"")</f>
        <v>87617.950119832429</v>
      </c>
      <c r="K60" s="14">
        <f>K59+Tabelle1[[#This Row],[Zinsleistung]]</f>
        <v>17683.782992328022</v>
      </c>
    </row>
    <row r="61" spans="2:11" x14ac:dyDescent="0.25">
      <c r="B61" s="11">
        <f t="shared" si="1"/>
        <v>46</v>
      </c>
      <c r="C61" s="12">
        <f>IF((Startdatum),EOMONTH(C60,1))</f>
        <v>44651</v>
      </c>
      <c r="D61" s="13">
        <f t="shared" si="0"/>
        <v>87985.774727578464</v>
      </c>
      <c r="E61" s="14">
        <f>IF(AnzahlZahlungen&lt;&gt;"",IF(Tabelle1[[#This Row],[Startsaldo]]&lt;Rate,Tabelle1[[#This Row],[Startsaldo]],Rate),"")</f>
        <v>659.95573921665743</v>
      </c>
      <c r="F61" s="19"/>
      <c r="G61" s="13">
        <f>Tabelle1[[#This Row],[Planmässige Zahlung ]]+Tabelle1[[#This Row],[Sonderzahlung]]</f>
        <v>659.95573921665743</v>
      </c>
      <c r="H61" s="14">
        <f>Tabelle1[[#This Row],[Zahlung gesamt]]-Tabelle1[[#This Row],[Zinsleistung]]</f>
        <v>293.34834451841385</v>
      </c>
      <c r="I61" s="14">
        <f>IF(AnzahlZahlungen&lt;&gt;"",Tabelle1[[#This Row],[Startsaldo]]*Zinssatz/12,"")</f>
        <v>366.60739469824358</v>
      </c>
      <c r="J61" s="13">
        <f>IF(AnzahlZahlungen&lt;&gt;0,Tabelle1[[#This Row],[Startsaldo]]-Tabelle1[[#This Row],[Zahlung gesamt]],"")</f>
        <v>87325.818988361803</v>
      </c>
      <c r="K61" s="14">
        <f>K60+Tabelle1[[#This Row],[Zinsleistung]]</f>
        <v>18050.390387026266</v>
      </c>
    </row>
    <row r="62" spans="2:11" x14ac:dyDescent="0.25">
      <c r="B62" s="11">
        <f t="shared" si="1"/>
        <v>47</v>
      </c>
      <c r="C62" s="12">
        <f>IF((Startdatum),EOMONTH(C61,1))</f>
        <v>44681</v>
      </c>
      <c r="D62" s="13">
        <f t="shared" si="0"/>
        <v>87692.426383060054</v>
      </c>
      <c r="E62" s="14">
        <f>IF(AnzahlZahlungen&lt;&gt;"",IF(Tabelle1[[#This Row],[Startsaldo]]&lt;Rate,Tabelle1[[#This Row],[Startsaldo]],Rate),"")</f>
        <v>659.95573921665743</v>
      </c>
      <c r="F62" s="19"/>
      <c r="G62" s="13">
        <f>Tabelle1[[#This Row],[Planmässige Zahlung ]]+Tabelle1[[#This Row],[Sonderzahlung]]</f>
        <v>659.95573921665743</v>
      </c>
      <c r="H62" s="14">
        <f>Tabelle1[[#This Row],[Zahlung gesamt]]-Tabelle1[[#This Row],[Zinsleistung]]</f>
        <v>294.57062928724048</v>
      </c>
      <c r="I62" s="14">
        <f>IF(AnzahlZahlungen&lt;&gt;"",Tabelle1[[#This Row],[Startsaldo]]*Zinssatz/12,"")</f>
        <v>365.38510992941696</v>
      </c>
      <c r="J62" s="13">
        <f>IF(AnzahlZahlungen&lt;&gt;0,Tabelle1[[#This Row],[Startsaldo]]-Tabelle1[[#This Row],[Zahlung gesamt]],"")</f>
        <v>87032.470643843393</v>
      </c>
      <c r="K62" s="14">
        <f>K61+Tabelle1[[#This Row],[Zinsleistung]]</f>
        <v>18415.775496955681</v>
      </c>
    </row>
    <row r="63" spans="2:11" x14ac:dyDescent="0.25">
      <c r="B63" s="11">
        <f t="shared" si="1"/>
        <v>48</v>
      </c>
      <c r="C63" s="12">
        <f>IF((Startdatum),EOMONTH(C62,1))</f>
        <v>44712</v>
      </c>
      <c r="D63" s="13">
        <f t="shared" si="0"/>
        <v>87397.855753772819</v>
      </c>
      <c r="E63" s="14">
        <f>IF(AnzahlZahlungen&lt;&gt;"",IF(Tabelle1[[#This Row],[Startsaldo]]&lt;Rate,Tabelle1[[#This Row],[Startsaldo]],Rate),"")</f>
        <v>659.95573921665743</v>
      </c>
      <c r="F63" s="19"/>
      <c r="G63" s="13">
        <f>Tabelle1[[#This Row],[Planmässige Zahlung ]]+Tabelle1[[#This Row],[Sonderzahlung]]</f>
        <v>659.95573921665743</v>
      </c>
      <c r="H63" s="14">
        <f>Tabelle1[[#This Row],[Zahlung gesamt]]-Tabelle1[[#This Row],[Zinsleistung]]</f>
        <v>295.79800690927067</v>
      </c>
      <c r="I63" s="14">
        <f>IF(AnzahlZahlungen&lt;&gt;"",Tabelle1[[#This Row],[Startsaldo]]*Zinssatz/12,"")</f>
        <v>364.15773230738677</v>
      </c>
      <c r="J63" s="13">
        <f>IF(AnzahlZahlungen&lt;&gt;0,Tabelle1[[#This Row],[Startsaldo]]-Tabelle1[[#This Row],[Zahlung gesamt]],"")</f>
        <v>86737.900014556159</v>
      </c>
      <c r="K63" s="14">
        <f>K62+Tabelle1[[#This Row],[Zinsleistung]]</f>
        <v>18779.933229263068</v>
      </c>
    </row>
    <row r="64" spans="2:11" x14ac:dyDescent="0.25">
      <c r="B64" s="11">
        <f t="shared" si="1"/>
        <v>49</v>
      </c>
      <c r="C64" s="12">
        <f>IF((Startdatum),EOMONTH(C63,1))</f>
        <v>44742</v>
      </c>
      <c r="D64" s="13">
        <f t="shared" si="0"/>
        <v>87102.057746863546</v>
      </c>
      <c r="E64" s="14">
        <f>IF(AnzahlZahlungen&lt;&gt;"",IF(Tabelle1[[#This Row],[Startsaldo]]&lt;Rate,Tabelle1[[#This Row],[Startsaldo]],Rate),"")</f>
        <v>659.95573921665743</v>
      </c>
      <c r="F64" s="19"/>
      <c r="G64" s="13">
        <f>Tabelle1[[#This Row],[Planmässige Zahlung ]]+Tabelle1[[#This Row],[Sonderzahlung]]</f>
        <v>659.95573921665743</v>
      </c>
      <c r="H64" s="14">
        <f>Tabelle1[[#This Row],[Zahlung gesamt]]-Tabelle1[[#This Row],[Zinsleistung]]</f>
        <v>297.03049860472595</v>
      </c>
      <c r="I64" s="14">
        <f>IF(AnzahlZahlungen&lt;&gt;"",Tabelle1[[#This Row],[Startsaldo]]*Zinssatz/12,"")</f>
        <v>362.92524061193149</v>
      </c>
      <c r="J64" s="13">
        <f>IF(AnzahlZahlungen&lt;&gt;0,Tabelle1[[#This Row],[Startsaldo]]-Tabelle1[[#This Row],[Zahlung gesamt]],"")</f>
        <v>86442.102007646885</v>
      </c>
      <c r="K64" s="14">
        <f>K63+Tabelle1[[#This Row],[Zinsleistung]]</f>
        <v>19142.858469874998</v>
      </c>
    </row>
    <row r="65" spans="2:11" x14ac:dyDescent="0.25">
      <c r="B65" s="11">
        <f t="shared" si="1"/>
        <v>50</v>
      </c>
      <c r="C65" s="12">
        <f>IF((Startdatum),EOMONTH(C64,1))</f>
        <v>44773</v>
      </c>
      <c r="D65" s="13">
        <f t="shared" si="0"/>
        <v>86805.027248258819</v>
      </c>
      <c r="E65" s="14">
        <f>IF(AnzahlZahlungen&lt;&gt;"",IF(Tabelle1[[#This Row],[Startsaldo]]&lt;Rate,Tabelle1[[#This Row],[Startsaldo]],Rate),"")</f>
        <v>659.95573921665743</v>
      </c>
      <c r="F65" s="19"/>
      <c r="G65" s="13">
        <f>Tabelle1[[#This Row],[Planmässige Zahlung ]]+Tabelle1[[#This Row],[Sonderzahlung]]</f>
        <v>659.95573921665743</v>
      </c>
      <c r="H65" s="14">
        <f>Tabelle1[[#This Row],[Zahlung gesamt]]-Tabelle1[[#This Row],[Zinsleistung]]</f>
        <v>298.26812568224562</v>
      </c>
      <c r="I65" s="14">
        <f>IF(AnzahlZahlungen&lt;&gt;"",Tabelle1[[#This Row],[Startsaldo]]*Zinssatz/12,"")</f>
        <v>361.68761353441181</v>
      </c>
      <c r="J65" s="13">
        <f>IF(AnzahlZahlungen&lt;&gt;0,Tabelle1[[#This Row],[Startsaldo]]-Tabelle1[[#This Row],[Zahlung gesamt]],"")</f>
        <v>86145.071509042158</v>
      </c>
      <c r="K65" s="14">
        <f>K64+Tabelle1[[#This Row],[Zinsleistung]]</f>
        <v>19504.546083409408</v>
      </c>
    </row>
    <row r="66" spans="2:11" x14ac:dyDescent="0.25">
      <c r="B66" s="11">
        <f t="shared" si="1"/>
        <v>51</v>
      </c>
      <c r="C66" s="12">
        <f>IF((Startdatum),EOMONTH(C65,1))</f>
        <v>44804</v>
      </c>
      <c r="D66" s="13">
        <f t="shared" si="0"/>
        <v>86506.759122576579</v>
      </c>
      <c r="E66" s="14">
        <f>IF(AnzahlZahlungen&lt;&gt;"",IF(Tabelle1[[#This Row],[Startsaldo]]&lt;Rate,Tabelle1[[#This Row],[Startsaldo]],Rate),"")</f>
        <v>659.95573921665743</v>
      </c>
      <c r="F66" s="19"/>
      <c r="G66" s="13">
        <f>Tabelle1[[#This Row],[Planmässige Zahlung ]]+Tabelle1[[#This Row],[Sonderzahlung]]</f>
        <v>659.95573921665743</v>
      </c>
      <c r="H66" s="14">
        <f>Tabelle1[[#This Row],[Zahlung gesamt]]-Tabelle1[[#This Row],[Zinsleistung]]</f>
        <v>299.51090953925501</v>
      </c>
      <c r="I66" s="14">
        <f>IF(AnzahlZahlungen&lt;&gt;"",Tabelle1[[#This Row],[Startsaldo]]*Zinssatz/12,"")</f>
        <v>360.44482967740242</v>
      </c>
      <c r="J66" s="13">
        <f>IF(AnzahlZahlungen&lt;&gt;0,Tabelle1[[#This Row],[Startsaldo]]-Tabelle1[[#This Row],[Zahlung gesamt]],"")</f>
        <v>85846.803383359918</v>
      </c>
      <c r="K66" s="14">
        <f>K65+Tabelle1[[#This Row],[Zinsleistung]]</f>
        <v>19864.990913086811</v>
      </c>
    </row>
    <row r="67" spans="2:11" x14ac:dyDescent="0.25">
      <c r="B67" s="11">
        <f t="shared" si="1"/>
        <v>52</v>
      </c>
      <c r="C67" s="12">
        <f>IF((Startdatum),EOMONTH(C66,1))</f>
        <v>44834</v>
      </c>
      <c r="D67" s="13">
        <f t="shared" si="0"/>
        <v>86207.248213037325</v>
      </c>
      <c r="E67" s="14">
        <f>IF(AnzahlZahlungen&lt;&gt;"",IF(Tabelle1[[#This Row],[Startsaldo]]&lt;Rate,Tabelle1[[#This Row],[Startsaldo]],Rate),"")</f>
        <v>659.95573921665743</v>
      </c>
      <c r="F67" s="19"/>
      <c r="G67" s="13">
        <f>Tabelle1[[#This Row],[Planmässige Zahlung ]]+Tabelle1[[#This Row],[Sonderzahlung]]</f>
        <v>659.95573921665743</v>
      </c>
      <c r="H67" s="14">
        <f>Tabelle1[[#This Row],[Zahlung gesamt]]-Tabelle1[[#This Row],[Zinsleistung]]</f>
        <v>300.75887166233525</v>
      </c>
      <c r="I67" s="14">
        <f>IF(AnzahlZahlungen&lt;&gt;"",Tabelle1[[#This Row],[Startsaldo]]*Zinssatz/12,"")</f>
        <v>359.19686755432218</v>
      </c>
      <c r="J67" s="13">
        <f>IF(AnzahlZahlungen&lt;&gt;0,Tabelle1[[#This Row],[Startsaldo]]-Tabelle1[[#This Row],[Zahlung gesamt]],"")</f>
        <v>85547.292473820664</v>
      </c>
      <c r="K67" s="14">
        <f>K66+Tabelle1[[#This Row],[Zinsleistung]]</f>
        <v>20224.187780641132</v>
      </c>
    </row>
    <row r="68" spans="2:11" x14ac:dyDescent="0.25">
      <c r="B68" s="11">
        <f t="shared" si="1"/>
        <v>53</v>
      </c>
      <c r="C68" s="12">
        <f>IF((Startdatum),EOMONTH(C67,1))</f>
        <v>44865</v>
      </c>
      <c r="D68" s="13">
        <f t="shared" si="0"/>
        <v>85906.489341374996</v>
      </c>
      <c r="E68" s="14">
        <f>IF(AnzahlZahlungen&lt;&gt;"",IF(Tabelle1[[#This Row],[Startsaldo]]&lt;Rate,Tabelle1[[#This Row],[Startsaldo]],Rate),"")</f>
        <v>659.95573921665743</v>
      </c>
      <c r="F68" s="19"/>
      <c r="G68" s="13">
        <f>Tabelle1[[#This Row],[Planmässige Zahlung ]]+Tabelle1[[#This Row],[Sonderzahlung]]</f>
        <v>659.95573921665743</v>
      </c>
      <c r="H68" s="14">
        <f>Tabelle1[[#This Row],[Zahlung gesamt]]-Tabelle1[[#This Row],[Zinsleistung]]</f>
        <v>302.01203362759492</v>
      </c>
      <c r="I68" s="14">
        <f>IF(AnzahlZahlungen&lt;&gt;"",Tabelle1[[#This Row],[Startsaldo]]*Zinssatz/12,"")</f>
        <v>357.94370558906252</v>
      </c>
      <c r="J68" s="13">
        <f>IF(AnzahlZahlungen&lt;&gt;0,Tabelle1[[#This Row],[Startsaldo]]-Tabelle1[[#This Row],[Zahlung gesamt]],"")</f>
        <v>85246.533602158335</v>
      </c>
      <c r="K68" s="14">
        <f>K67+Tabelle1[[#This Row],[Zinsleistung]]</f>
        <v>20582.131486230195</v>
      </c>
    </row>
    <row r="69" spans="2:11" x14ac:dyDescent="0.25">
      <c r="B69" s="11">
        <f t="shared" si="1"/>
        <v>54</v>
      </c>
      <c r="C69" s="12">
        <f>IF((Startdatum),EOMONTH(C68,1))</f>
        <v>44895</v>
      </c>
      <c r="D69" s="13">
        <f t="shared" si="0"/>
        <v>85604.477307747395</v>
      </c>
      <c r="E69" s="14">
        <f>IF(AnzahlZahlungen&lt;&gt;"",IF(Tabelle1[[#This Row],[Startsaldo]]&lt;Rate,Tabelle1[[#This Row],[Startsaldo]],Rate),"")</f>
        <v>659.95573921665743</v>
      </c>
      <c r="F69" s="19"/>
      <c r="G69" s="13">
        <f>Tabelle1[[#This Row],[Planmässige Zahlung ]]+Tabelle1[[#This Row],[Sonderzahlung]]</f>
        <v>659.95573921665743</v>
      </c>
      <c r="H69" s="14">
        <f>Tabelle1[[#This Row],[Zahlung gesamt]]-Tabelle1[[#This Row],[Zinsleistung]]</f>
        <v>303.27041710104328</v>
      </c>
      <c r="I69" s="14">
        <f>IF(AnzahlZahlungen&lt;&gt;"",Tabelle1[[#This Row],[Startsaldo]]*Zinssatz/12,"")</f>
        <v>356.68532211561416</v>
      </c>
      <c r="J69" s="13">
        <f>IF(AnzahlZahlungen&lt;&gt;0,Tabelle1[[#This Row],[Startsaldo]]-Tabelle1[[#This Row],[Zahlung gesamt]],"")</f>
        <v>84944.521568530734</v>
      </c>
      <c r="K69" s="14">
        <f>K68+Tabelle1[[#This Row],[Zinsleistung]]</f>
        <v>20938.816808345808</v>
      </c>
    </row>
    <row r="70" spans="2:11" x14ac:dyDescent="0.25">
      <c r="B70" s="11">
        <f t="shared" si="1"/>
        <v>55</v>
      </c>
      <c r="C70" s="12">
        <f>IF((Startdatum),EOMONTH(C69,1))</f>
        <v>44926</v>
      </c>
      <c r="D70" s="13">
        <f t="shared" si="0"/>
        <v>85301.206890646354</v>
      </c>
      <c r="E70" s="14">
        <f>IF(AnzahlZahlungen&lt;&gt;"",IF(Tabelle1[[#This Row],[Startsaldo]]&lt;Rate,Tabelle1[[#This Row],[Startsaldo]],Rate),"")</f>
        <v>659.95573921665743</v>
      </c>
      <c r="F70" s="19"/>
      <c r="G70" s="13">
        <f>Tabelle1[[#This Row],[Planmässige Zahlung ]]+Tabelle1[[#This Row],[Sonderzahlung]]</f>
        <v>659.95573921665743</v>
      </c>
      <c r="H70" s="14">
        <f>Tabelle1[[#This Row],[Zahlung gesamt]]-Tabelle1[[#This Row],[Zinsleistung]]</f>
        <v>304.53404383896429</v>
      </c>
      <c r="I70" s="14">
        <f>IF(AnzahlZahlungen&lt;&gt;"",Tabelle1[[#This Row],[Startsaldo]]*Zinssatz/12,"")</f>
        <v>355.42169537769314</v>
      </c>
      <c r="J70" s="13">
        <f>IF(AnzahlZahlungen&lt;&gt;0,Tabelle1[[#This Row],[Startsaldo]]-Tabelle1[[#This Row],[Zahlung gesamt]],"")</f>
        <v>84641.251151429693</v>
      </c>
      <c r="K70" s="14">
        <f>K69+Tabelle1[[#This Row],[Zinsleistung]]</f>
        <v>21294.2385037235</v>
      </c>
    </row>
    <row r="71" spans="2:11" x14ac:dyDescent="0.25">
      <c r="B71" s="11">
        <f t="shared" si="1"/>
        <v>56</v>
      </c>
      <c r="C71" s="12">
        <f>IF((Startdatum),EOMONTH(C70,1))</f>
        <v>44957</v>
      </c>
      <c r="D71" s="13">
        <f t="shared" si="0"/>
        <v>84996.672846807385</v>
      </c>
      <c r="E71" s="14">
        <f>IF(AnzahlZahlungen&lt;&gt;"",IF(Tabelle1[[#This Row],[Startsaldo]]&lt;Rate,Tabelle1[[#This Row],[Startsaldo]],Rate),"")</f>
        <v>659.95573921665743</v>
      </c>
      <c r="F71" s="19"/>
      <c r="G71" s="13">
        <f>Tabelle1[[#This Row],[Planmässige Zahlung ]]+Tabelle1[[#This Row],[Sonderzahlung]]</f>
        <v>659.95573921665743</v>
      </c>
      <c r="H71" s="14">
        <f>Tabelle1[[#This Row],[Zahlung gesamt]]-Tabelle1[[#This Row],[Zinsleistung]]</f>
        <v>305.8029356882933</v>
      </c>
      <c r="I71" s="14">
        <f>IF(AnzahlZahlungen&lt;&gt;"",Tabelle1[[#This Row],[Startsaldo]]*Zinssatz/12,"")</f>
        <v>354.15280352836413</v>
      </c>
      <c r="J71" s="13">
        <f>IF(AnzahlZahlungen&lt;&gt;0,Tabelle1[[#This Row],[Startsaldo]]-Tabelle1[[#This Row],[Zahlung gesamt]],"")</f>
        <v>84336.717107590724</v>
      </c>
      <c r="K71" s="14">
        <f>K70+Tabelle1[[#This Row],[Zinsleistung]]</f>
        <v>21648.391307251863</v>
      </c>
    </row>
    <row r="72" spans="2:11" x14ac:dyDescent="0.25">
      <c r="B72" s="11">
        <f t="shared" si="1"/>
        <v>57</v>
      </c>
      <c r="C72" s="12">
        <f>IF((Startdatum),EOMONTH(C71,1))</f>
        <v>44985</v>
      </c>
      <c r="D72" s="13">
        <f t="shared" si="0"/>
        <v>84690.869911119094</v>
      </c>
      <c r="E72" s="14">
        <f>IF(AnzahlZahlungen&lt;&gt;"",IF(Tabelle1[[#This Row],[Startsaldo]]&lt;Rate,Tabelle1[[#This Row],[Startsaldo]],Rate),"")</f>
        <v>659.95573921665743</v>
      </c>
      <c r="F72" s="19"/>
      <c r="G72" s="13">
        <f>Tabelle1[[#This Row],[Planmässige Zahlung ]]+Tabelle1[[#This Row],[Sonderzahlung]]</f>
        <v>659.95573921665743</v>
      </c>
      <c r="H72" s="14">
        <f>Tabelle1[[#This Row],[Zahlung gesamt]]-Tabelle1[[#This Row],[Zinsleistung]]</f>
        <v>307.07711458699453</v>
      </c>
      <c r="I72" s="14">
        <f>IF(AnzahlZahlungen&lt;&gt;"",Tabelle1[[#This Row],[Startsaldo]]*Zinssatz/12,"")</f>
        <v>352.87862462966291</v>
      </c>
      <c r="J72" s="13">
        <f>IF(AnzahlZahlungen&lt;&gt;0,Tabelle1[[#This Row],[Startsaldo]]-Tabelle1[[#This Row],[Zahlung gesamt]],"")</f>
        <v>84030.914171902434</v>
      </c>
      <c r="K72" s="14">
        <f>K71+Tabelle1[[#This Row],[Zinsleistung]]</f>
        <v>22001.269931881525</v>
      </c>
    </row>
    <row r="73" spans="2:11" x14ac:dyDescent="0.25">
      <c r="B73" s="11">
        <f t="shared" si="1"/>
        <v>58</v>
      </c>
      <c r="C73" s="12">
        <f>IF((Startdatum),EOMONTH(C72,1))</f>
        <v>45016</v>
      </c>
      <c r="D73" s="13">
        <f t="shared" si="0"/>
        <v>84383.7927965321</v>
      </c>
      <c r="E73" s="14">
        <f>IF(AnzahlZahlungen&lt;&gt;"",IF(Tabelle1[[#This Row],[Startsaldo]]&lt;Rate,Tabelle1[[#This Row],[Startsaldo]],Rate),"")</f>
        <v>659.95573921665743</v>
      </c>
      <c r="F73" s="19"/>
      <c r="G73" s="13">
        <f>Tabelle1[[#This Row],[Planmässige Zahlung ]]+Tabelle1[[#This Row],[Sonderzahlung]]</f>
        <v>659.95573921665743</v>
      </c>
      <c r="H73" s="14">
        <f>Tabelle1[[#This Row],[Zahlung gesamt]]-Tabelle1[[#This Row],[Zinsleistung]]</f>
        <v>308.35660256444032</v>
      </c>
      <c r="I73" s="14">
        <f>IF(AnzahlZahlungen&lt;&gt;"",Tabelle1[[#This Row],[Startsaldo]]*Zinssatz/12,"")</f>
        <v>351.59913665221711</v>
      </c>
      <c r="J73" s="13">
        <f>IF(AnzahlZahlungen&lt;&gt;0,Tabelle1[[#This Row],[Startsaldo]]-Tabelle1[[#This Row],[Zahlung gesamt]],"")</f>
        <v>83723.837057315439</v>
      </c>
      <c r="K73" s="14">
        <f>K72+Tabelle1[[#This Row],[Zinsleistung]]</f>
        <v>22352.869068533742</v>
      </c>
    </row>
    <row r="74" spans="2:11" x14ac:dyDescent="0.25">
      <c r="B74" s="11">
        <f t="shared" si="1"/>
        <v>59</v>
      </c>
      <c r="C74" s="12">
        <f>IF((Startdatum),EOMONTH(C73,1))</f>
        <v>45046</v>
      </c>
      <c r="D74" s="13">
        <f t="shared" si="0"/>
        <v>84075.43619396766</v>
      </c>
      <c r="E74" s="14">
        <f>IF(AnzahlZahlungen&lt;&gt;"",IF(Tabelle1[[#This Row],[Startsaldo]]&lt;Rate,Tabelle1[[#This Row],[Startsaldo]],Rate),"")</f>
        <v>659.95573921665743</v>
      </c>
      <c r="F74" s="19"/>
      <c r="G74" s="13">
        <f>Tabelle1[[#This Row],[Planmässige Zahlung ]]+Tabelle1[[#This Row],[Sonderzahlung]]</f>
        <v>659.95573921665743</v>
      </c>
      <c r="H74" s="14">
        <f>Tabelle1[[#This Row],[Zahlung gesamt]]-Tabelle1[[#This Row],[Zinsleistung]]</f>
        <v>309.64142174179216</v>
      </c>
      <c r="I74" s="14">
        <f>IF(AnzahlZahlungen&lt;&gt;"",Tabelle1[[#This Row],[Startsaldo]]*Zinssatz/12,"")</f>
        <v>350.31431747486528</v>
      </c>
      <c r="J74" s="13">
        <f>IF(AnzahlZahlungen&lt;&gt;0,Tabelle1[[#This Row],[Startsaldo]]-Tabelle1[[#This Row],[Zahlung gesamt]],"")</f>
        <v>83415.480454750999</v>
      </c>
      <c r="K74" s="14">
        <f>K73+Tabelle1[[#This Row],[Zinsleistung]]</f>
        <v>22703.183386008608</v>
      </c>
    </row>
    <row r="75" spans="2:11" x14ac:dyDescent="0.25">
      <c r="B75" s="11">
        <f t="shared" si="1"/>
        <v>60</v>
      </c>
      <c r="C75" s="12">
        <f>IF((Startdatum),EOMONTH(C74,1))</f>
        <v>45077</v>
      </c>
      <c r="D75" s="13">
        <f t="shared" si="0"/>
        <v>83765.794772225869</v>
      </c>
      <c r="E75" s="14">
        <f>IF(AnzahlZahlungen&lt;&gt;"",IF(Tabelle1[[#This Row],[Startsaldo]]&lt;Rate,Tabelle1[[#This Row],[Startsaldo]],Rate),"")</f>
        <v>659.95573921665743</v>
      </c>
      <c r="F75" s="19"/>
      <c r="G75" s="13">
        <f>Tabelle1[[#This Row],[Planmässige Zahlung ]]+Tabelle1[[#This Row],[Sonderzahlung]]</f>
        <v>659.95573921665743</v>
      </c>
      <c r="H75" s="14">
        <f>Tabelle1[[#This Row],[Zahlung gesamt]]-Tabelle1[[#This Row],[Zinsleistung]]</f>
        <v>310.93159433238299</v>
      </c>
      <c r="I75" s="14">
        <f>IF(AnzahlZahlungen&lt;&gt;"",Tabelle1[[#This Row],[Startsaldo]]*Zinssatz/12,"")</f>
        <v>349.02414488427445</v>
      </c>
      <c r="J75" s="13">
        <f>IF(AnzahlZahlungen&lt;&gt;0,Tabelle1[[#This Row],[Startsaldo]]-Tabelle1[[#This Row],[Zahlung gesamt]],"")</f>
        <v>83105.839033009208</v>
      </c>
      <c r="K75" s="14">
        <f>K74+Tabelle1[[#This Row],[Zinsleistung]]</f>
        <v>23052.207530892883</v>
      </c>
    </row>
    <row r="76" spans="2:11" x14ac:dyDescent="0.25">
      <c r="B76" s="11">
        <f t="shared" si="1"/>
        <v>61</v>
      </c>
      <c r="C76" s="12">
        <f>IF((Startdatum),EOMONTH(C75,1))</f>
        <v>45107</v>
      </c>
      <c r="D76" s="13">
        <f t="shared" si="0"/>
        <v>83454.86317789348</v>
      </c>
      <c r="E76" s="14">
        <f>IF(AnzahlZahlungen&lt;&gt;"",IF(Tabelle1[[#This Row],[Startsaldo]]&lt;Rate,Tabelle1[[#This Row],[Startsaldo]],Rate),"")</f>
        <v>659.95573921665743</v>
      </c>
      <c r="F76" s="19"/>
      <c r="G76" s="13">
        <f>Tabelle1[[#This Row],[Planmässige Zahlung ]]+Tabelle1[[#This Row],[Sonderzahlung]]</f>
        <v>659.95573921665743</v>
      </c>
      <c r="H76" s="14">
        <f>Tabelle1[[#This Row],[Zahlung gesamt]]-Tabelle1[[#This Row],[Zinsleistung]]</f>
        <v>312.22714264210128</v>
      </c>
      <c r="I76" s="14">
        <f>IF(AnzahlZahlungen&lt;&gt;"",Tabelle1[[#This Row],[Startsaldo]]*Zinssatz/12,"")</f>
        <v>347.72859657455615</v>
      </c>
      <c r="J76" s="13">
        <f>IF(AnzahlZahlungen&lt;&gt;0,Tabelle1[[#This Row],[Startsaldo]]-Tabelle1[[#This Row],[Zahlung gesamt]],"")</f>
        <v>82794.907438676819</v>
      </c>
      <c r="K76" s="14">
        <f>K75+Tabelle1[[#This Row],[Zinsleistung]]</f>
        <v>23399.936127467441</v>
      </c>
    </row>
    <row r="77" spans="2:11" x14ac:dyDescent="0.25">
      <c r="B77" s="11">
        <f t="shared" si="1"/>
        <v>62</v>
      </c>
      <c r="C77" s="12">
        <f>IF((Startdatum),EOMONTH(C76,1))</f>
        <v>45138</v>
      </c>
      <c r="D77" s="13">
        <f t="shared" si="0"/>
        <v>83142.636035251373</v>
      </c>
      <c r="E77" s="14">
        <f>IF(AnzahlZahlungen&lt;&gt;"",IF(Tabelle1[[#This Row],[Startsaldo]]&lt;Rate,Tabelle1[[#This Row],[Startsaldo]],Rate),"")</f>
        <v>659.95573921665743</v>
      </c>
      <c r="F77" s="19"/>
      <c r="G77" s="13">
        <f>Tabelle1[[#This Row],[Planmässige Zahlung ]]+Tabelle1[[#This Row],[Sonderzahlung]]</f>
        <v>659.95573921665743</v>
      </c>
      <c r="H77" s="14">
        <f>Tabelle1[[#This Row],[Zahlung gesamt]]-Tabelle1[[#This Row],[Zinsleistung]]</f>
        <v>313.52808906977668</v>
      </c>
      <c r="I77" s="14">
        <f>IF(AnzahlZahlungen&lt;&gt;"",Tabelle1[[#This Row],[Startsaldo]]*Zinssatz/12,"")</f>
        <v>346.42765014688075</v>
      </c>
      <c r="J77" s="13">
        <f>IF(AnzahlZahlungen&lt;&gt;0,Tabelle1[[#This Row],[Startsaldo]]-Tabelle1[[#This Row],[Zahlung gesamt]],"")</f>
        <v>82482.680296034712</v>
      </c>
      <c r="K77" s="14">
        <f>K76+Tabelle1[[#This Row],[Zinsleistung]]</f>
        <v>23746.363777614322</v>
      </c>
    </row>
    <row r="78" spans="2:11" x14ac:dyDescent="0.25">
      <c r="B78" s="11">
        <f t="shared" si="1"/>
        <v>63</v>
      </c>
      <c r="C78" s="12">
        <f>IF((Startdatum),EOMONTH(C77,1))</f>
        <v>45169</v>
      </c>
      <c r="D78" s="13">
        <f t="shared" si="0"/>
        <v>82829.107946181597</v>
      </c>
      <c r="E78" s="14">
        <f>IF(AnzahlZahlungen&lt;&gt;"",IF(Tabelle1[[#This Row],[Startsaldo]]&lt;Rate,Tabelle1[[#This Row],[Startsaldo]],Rate),"")</f>
        <v>659.95573921665743</v>
      </c>
      <c r="F78" s="19"/>
      <c r="G78" s="13">
        <f>Tabelle1[[#This Row],[Planmässige Zahlung ]]+Tabelle1[[#This Row],[Sonderzahlung]]</f>
        <v>659.95573921665743</v>
      </c>
      <c r="H78" s="14">
        <f>Tabelle1[[#This Row],[Zahlung gesamt]]-Tabelle1[[#This Row],[Zinsleistung]]</f>
        <v>314.83445610756746</v>
      </c>
      <c r="I78" s="14">
        <f>IF(AnzahlZahlungen&lt;&gt;"",Tabelle1[[#This Row],[Startsaldo]]*Zinssatz/12,"")</f>
        <v>345.12128310908997</v>
      </c>
      <c r="J78" s="13">
        <f>IF(AnzahlZahlungen&lt;&gt;0,Tabelle1[[#This Row],[Startsaldo]]-Tabelle1[[#This Row],[Zahlung gesamt]],"")</f>
        <v>82169.152206964936</v>
      </c>
      <c r="K78" s="14">
        <f>K77+Tabelle1[[#This Row],[Zinsleistung]]</f>
        <v>24091.485060723411</v>
      </c>
    </row>
    <row r="79" spans="2:11" x14ac:dyDescent="0.25">
      <c r="B79" s="11">
        <f t="shared" si="1"/>
        <v>64</v>
      </c>
      <c r="C79" s="12">
        <f>IF((Startdatum),EOMONTH(C78,1))</f>
        <v>45199</v>
      </c>
      <c r="D79" s="13">
        <f t="shared" si="0"/>
        <v>82514.273490074032</v>
      </c>
      <c r="E79" s="14">
        <f>IF(AnzahlZahlungen&lt;&gt;"",IF(Tabelle1[[#This Row],[Startsaldo]]&lt;Rate,Tabelle1[[#This Row],[Startsaldo]],Rate),"")</f>
        <v>659.95573921665743</v>
      </c>
      <c r="F79" s="19"/>
      <c r="G79" s="13">
        <f>Tabelle1[[#This Row],[Planmässige Zahlung ]]+Tabelle1[[#This Row],[Sonderzahlung]]</f>
        <v>659.95573921665743</v>
      </c>
      <c r="H79" s="14">
        <f>Tabelle1[[#This Row],[Zahlung gesamt]]-Tabelle1[[#This Row],[Zinsleistung]]</f>
        <v>316.14626634134896</v>
      </c>
      <c r="I79" s="14">
        <f>IF(AnzahlZahlungen&lt;&gt;"",Tabelle1[[#This Row],[Startsaldo]]*Zinssatz/12,"")</f>
        <v>343.80947287530847</v>
      </c>
      <c r="J79" s="13">
        <f>IF(AnzahlZahlungen&lt;&gt;0,Tabelle1[[#This Row],[Startsaldo]]-Tabelle1[[#This Row],[Zahlung gesamt]],"")</f>
        <v>81854.317750857372</v>
      </c>
      <c r="K79" s="14">
        <f>K78+Tabelle1[[#This Row],[Zinsleistung]]</f>
        <v>24435.294533598721</v>
      </c>
    </row>
    <row r="80" spans="2:11" x14ac:dyDescent="0.25">
      <c r="B80" s="11">
        <f t="shared" si="1"/>
        <v>65</v>
      </c>
      <c r="C80" s="12">
        <f>IF((Startdatum),EOMONTH(C79,1))</f>
        <v>45230</v>
      </c>
      <c r="D80" s="13">
        <f t="shared" si="0"/>
        <v>82198.127223732678</v>
      </c>
      <c r="E80" s="14">
        <f>IF(AnzahlZahlungen&lt;&gt;"",IF(Tabelle1[[#This Row],[Startsaldo]]&lt;Rate,Tabelle1[[#This Row],[Startsaldo]],Rate),"")</f>
        <v>659.95573921665743</v>
      </c>
      <c r="F80" s="19"/>
      <c r="G80" s="13">
        <f>Tabelle1[[#This Row],[Planmässige Zahlung ]]+Tabelle1[[#This Row],[Sonderzahlung]]</f>
        <v>659.95573921665743</v>
      </c>
      <c r="H80" s="14">
        <f>Tabelle1[[#This Row],[Zahlung gesamt]]-Tabelle1[[#This Row],[Zinsleistung]]</f>
        <v>317.46354245110462</v>
      </c>
      <c r="I80" s="14">
        <f>IF(AnzahlZahlungen&lt;&gt;"",Tabelle1[[#This Row],[Startsaldo]]*Zinssatz/12,"")</f>
        <v>342.49219676555282</v>
      </c>
      <c r="J80" s="13">
        <f>IF(AnzahlZahlungen&lt;&gt;0,Tabelle1[[#This Row],[Startsaldo]]-Tabelle1[[#This Row],[Zahlung gesamt]],"")</f>
        <v>81538.171484516017</v>
      </c>
      <c r="K80" s="14">
        <f>K79+Tabelle1[[#This Row],[Zinsleistung]]</f>
        <v>24777.786730364274</v>
      </c>
    </row>
    <row r="81" spans="2:11" x14ac:dyDescent="0.25">
      <c r="B81" s="11">
        <f t="shared" si="1"/>
        <v>66</v>
      </c>
      <c r="C81" s="12">
        <f>IF((Startdatum),EOMONTH(C80,1))</f>
        <v>45260</v>
      </c>
      <c r="D81" s="13">
        <f t="shared" ref="D81:D144" si="2">IF(D80&lt;=Rate,0,D80-H80)</f>
        <v>81880.66368128157</v>
      </c>
      <c r="E81" s="14">
        <f>IF(AnzahlZahlungen&lt;&gt;"",IF(Tabelle1[[#This Row],[Startsaldo]]&lt;Rate,Tabelle1[[#This Row],[Startsaldo]],Rate),"")</f>
        <v>659.95573921665743</v>
      </c>
      <c r="F81" s="19"/>
      <c r="G81" s="13">
        <f>Tabelle1[[#This Row],[Planmässige Zahlung ]]+Tabelle1[[#This Row],[Sonderzahlung]]</f>
        <v>659.95573921665743</v>
      </c>
      <c r="H81" s="14">
        <f>Tabelle1[[#This Row],[Zahlung gesamt]]-Tabelle1[[#This Row],[Zinsleistung]]</f>
        <v>318.78630721131753</v>
      </c>
      <c r="I81" s="14">
        <f>IF(AnzahlZahlungen&lt;&gt;"",Tabelle1[[#This Row],[Startsaldo]]*Zinssatz/12,"")</f>
        <v>341.1694320053399</v>
      </c>
      <c r="J81" s="13">
        <f>IF(AnzahlZahlungen&lt;&gt;0,Tabelle1[[#This Row],[Startsaldo]]-Tabelle1[[#This Row],[Zahlung gesamt]],"")</f>
        <v>81220.70794206491</v>
      </c>
      <c r="K81" s="14">
        <f>K80+Tabelle1[[#This Row],[Zinsleistung]]</f>
        <v>25118.956162369614</v>
      </c>
    </row>
    <row r="82" spans="2:11" x14ac:dyDescent="0.25">
      <c r="B82" s="11">
        <f t="shared" ref="B82:B145" si="3">B81+1</f>
        <v>67</v>
      </c>
      <c r="C82" s="12">
        <f>IF((Startdatum),EOMONTH(C81,1))</f>
        <v>45291</v>
      </c>
      <c r="D82" s="13">
        <f t="shared" si="2"/>
        <v>81561.87737407026</v>
      </c>
      <c r="E82" s="14">
        <f>IF(AnzahlZahlungen&lt;&gt;"",IF(Tabelle1[[#This Row],[Startsaldo]]&lt;Rate,Tabelle1[[#This Row],[Startsaldo]],Rate),"")</f>
        <v>659.95573921665743</v>
      </c>
      <c r="F82" s="19"/>
      <c r="G82" s="13">
        <f>Tabelle1[[#This Row],[Planmässige Zahlung ]]+Tabelle1[[#This Row],[Sonderzahlung]]</f>
        <v>659.95573921665743</v>
      </c>
      <c r="H82" s="14">
        <f>Tabelle1[[#This Row],[Zahlung gesamt]]-Tabelle1[[#This Row],[Zinsleistung]]</f>
        <v>320.11458349136467</v>
      </c>
      <c r="I82" s="14">
        <f>IF(AnzahlZahlungen&lt;&gt;"",Tabelle1[[#This Row],[Startsaldo]]*Zinssatz/12,"")</f>
        <v>339.84115572529277</v>
      </c>
      <c r="J82" s="13">
        <f>IF(AnzahlZahlungen&lt;&gt;0,Tabelle1[[#This Row],[Startsaldo]]-Tabelle1[[#This Row],[Zahlung gesamt]],"")</f>
        <v>80901.921634853599</v>
      </c>
      <c r="K82" s="14">
        <f>K81+Tabelle1[[#This Row],[Zinsleistung]]</f>
        <v>25458.797318094905</v>
      </c>
    </row>
    <row r="83" spans="2:11" x14ac:dyDescent="0.25">
      <c r="B83" s="11">
        <f t="shared" si="3"/>
        <v>68</v>
      </c>
      <c r="C83" s="12">
        <f>IF((Startdatum),EOMONTH(C82,1))</f>
        <v>45322</v>
      </c>
      <c r="D83" s="13">
        <f t="shared" si="2"/>
        <v>81241.762790578898</v>
      </c>
      <c r="E83" s="14">
        <f>IF(AnzahlZahlungen&lt;&gt;"",IF(Tabelle1[[#This Row],[Startsaldo]]&lt;Rate,Tabelle1[[#This Row],[Startsaldo]],Rate),"")</f>
        <v>659.95573921665743</v>
      </c>
      <c r="F83" s="19"/>
      <c r="G83" s="13">
        <f>Tabelle1[[#This Row],[Planmässige Zahlung ]]+Tabelle1[[#This Row],[Sonderzahlung]]</f>
        <v>659.95573921665743</v>
      </c>
      <c r="H83" s="14">
        <f>Tabelle1[[#This Row],[Zahlung gesamt]]-Tabelle1[[#This Row],[Zinsleistung]]</f>
        <v>321.44839425591198</v>
      </c>
      <c r="I83" s="14">
        <f>IF(AnzahlZahlungen&lt;&gt;"",Tabelle1[[#This Row],[Startsaldo]]*Zinssatz/12,"")</f>
        <v>338.50734496074546</v>
      </c>
      <c r="J83" s="13">
        <f>IF(AnzahlZahlungen&lt;&gt;0,Tabelle1[[#This Row],[Startsaldo]]-Tabelle1[[#This Row],[Zahlung gesamt]],"")</f>
        <v>80581.807051362237</v>
      </c>
      <c r="K83" s="14">
        <f>K82+Tabelle1[[#This Row],[Zinsleistung]]</f>
        <v>25797.304663055649</v>
      </c>
    </row>
    <row r="84" spans="2:11" x14ac:dyDescent="0.25">
      <c r="B84" s="11">
        <f t="shared" si="3"/>
        <v>69</v>
      </c>
      <c r="C84" s="12">
        <f>IF((Startdatum),EOMONTH(C83,1))</f>
        <v>45351</v>
      </c>
      <c r="D84" s="13">
        <f t="shared" si="2"/>
        <v>80920.314396322981</v>
      </c>
      <c r="E84" s="14">
        <f>IF(AnzahlZahlungen&lt;&gt;"",IF(Tabelle1[[#This Row],[Startsaldo]]&lt;Rate,Tabelle1[[#This Row],[Startsaldo]],Rate),"")</f>
        <v>659.95573921665743</v>
      </c>
      <c r="F84" s="19"/>
      <c r="G84" s="13">
        <f>Tabelle1[[#This Row],[Planmässige Zahlung ]]+Tabelle1[[#This Row],[Sonderzahlung]]</f>
        <v>659.95573921665743</v>
      </c>
      <c r="H84" s="14">
        <f>Tabelle1[[#This Row],[Zahlung gesamt]]-Tabelle1[[#This Row],[Zinsleistung]]</f>
        <v>322.78776256531165</v>
      </c>
      <c r="I84" s="14">
        <f>IF(AnzahlZahlungen&lt;&gt;"",Tabelle1[[#This Row],[Startsaldo]]*Zinssatz/12,"")</f>
        <v>337.16797665134578</v>
      </c>
      <c r="J84" s="13">
        <f>IF(AnzahlZahlungen&lt;&gt;0,Tabelle1[[#This Row],[Startsaldo]]-Tabelle1[[#This Row],[Zahlung gesamt]],"")</f>
        <v>80260.358657106321</v>
      </c>
      <c r="K84" s="14">
        <f>K83+Tabelle1[[#This Row],[Zinsleistung]]</f>
        <v>26134.472639706994</v>
      </c>
    </row>
    <row r="85" spans="2:11" x14ac:dyDescent="0.25">
      <c r="B85" s="11">
        <f t="shared" si="3"/>
        <v>70</v>
      </c>
      <c r="C85" s="12">
        <f>IF((Startdatum),EOMONTH(C84,1))</f>
        <v>45382</v>
      </c>
      <c r="D85" s="13">
        <f t="shared" si="2"/>
        <v>80597.526633757676</v>
      </c>
      <c r="E85" s="14">
        <f>IF(AnzahlZahlungen&lt;&gt;"",IF(Tabelle1[[#This Row],[Startsaldo]]&lt;Rate,Tabelle1[[#This Row],[Startsaldo]],Rate),"")</f>
        <v>659.95573921665743</v>
      </c>
      <c r="F85" s="19"/>
      <c r="G85" s="13">
        <f>Tabelle1[[#This Row],[Planmässige Zahlung ]]+Tabelle1[[#This Row],[Sonderzahlung]]</f>
        <v>659.95573921665743</v>
      </c>
      <c r="H85" s="14">
        <f>Tabelle1[[#This Row],[Zahlung gesamt]]-Tabelle1[[#This Row],[Zinsleistung]]</f>
        <v>324.13271157600042</v>
      </c>
      <c r="I85" s="14">
        <f>IF(AnzahlZahlungen&lt;&gt;"",Tabelle1[[#This Row],[Startsaldo]]*Zinssatz/12,"")</f>
        <v>335.82302764065702</v>
      </c>
      <c r="J85" s="13">
        <f>IF(AnzahlZahlungen&lt;&gt;0,Tabelle1[[#This Row],[Startsaldo]]-Tabelle1[[#This Row],[Zahlung gesamt]],"")</f>
        <v>79937.570894541015</v>
      </c>
      <c r="K85" s="14">
        <f>K84+Tabelle1[[#This Row],[Zinsleistung]]</f>
        <v>26470.295667347651</v>
      </c>
    </row>
    <row r="86" spans="2:11" x14ac:dyDescent="0.25">
      <c r="B86" s="11">
        <f t="shared" si="3"/>
        <v>71</v>
      </c>
      <c r="C86" s="12">
        <f>IF((Startdatum),EOMONTH(C85,1))</f>
        <v>45412</v>
      </c>
      <c r="D86" s="13">
        <f t="shared" si="2"/>
        <v>80273.393922181669</v>
      </c>
      <c r="E86" s="14">
        <f>IF(AnzahlZahlungen&lt;&gt;"",IF(Tabelle1[[#This Row],[Startsaldo]]&lt;Rate,Tabelle1[[#This Row],[Startsaldo]],Rate),"")</f>
        <v>659.95573921665743</v>
      </c>
      <c r="F86" s="19"/>
      <c r="G86" s="13">
        <f>Tabelle1[[#This Row],[Planmässige Zahlung ]]+Tabelle1[[#This Row],[Sonderzahlung]]</f>
        <v>659.95573921665743</v>
      </c>
      <c r="H86" s="14">
        <f>Tabelle1[[#This Row],[Zahlung gesamt]]-Tabelle1[[#This Row],[Zinsleistung]]</f>
        <v>325.48326454090045</v>
      </c>
      <c r="I86" s="14">
        <f>IF(AnzahlZahlungen&lt;&gt;"",Tabelle1[[#This Row],[Startsaldo]]*Zinssatz/12,"")</f>
        <v>334.47247467575698</v>
      </c>
      <c r="J86" s="13">
        <f>IF(AnzahlZahlungen&lt;&gt;0,Tabelle1[[#This Row],[Startsaldo]]-Tabelle1[[#This Row],[Zahlung gesamt]],"")</f>
        <v>79613.438182965008</v>
      </c>
      <c r="K86" s="14">
        <f>K85+Tabelle1[[#This Row],[Zinsleistung]]</f>
        <v>26804.768142023408</v>
      </c>
    </row>
    <row r="87" spans="2:11" x14ac:dyDescent="0.25">
      <c r="B87" s="11">
        <f t="shared" si="3"/>
        <v>72</v>
      </c>
      <c r="C87" s="12">
        <f>IF((Startdatum),EOMONTH(C86,1))</f>
        <v>45443</v>
      </c>
      <c r="D87" s="13">
        <f t="shared" si="2"/>
        <v>79947.910657640765</v>
      </c>
      <c r="E87" s="14">
        <f>IF(AnzahlZahlungen&lt;&gt;"",IF(Tabelle1[[#This Row],[Startsaldo]]&lt;Rate,Tabelle1[[#This Row],[Startsaldo]],Rate),"")</f>
        <v>659.95573921665743</v>
      </c>
      <c r="F87" s="19"/>
      <c r="G87" s="13">
        <f>Tabelle1[[#This Row],[Planmässige Zahlung ]]+Tabelle1[[#This Row],[Sonderzahlung]]</f>
        <v>659.95573921665743</v>
      </c>
      <c r="H87" s="14">
        <f>Tabelle1[[#This Row],[Zahlung gesamt]]-Tabelle1[[#This Row],[Zinsleistung]]</f>
        <v>326.83944480982092</v>
      </c>
      <c r="I87" s="14">
        <f>IF(AnzahlZahlungen&lt;&gt;"",Tabelle1[[#This Row],[Startsaldo]]*Zinssatz/12,"")</f>
        <v>333.11629440683652</v>
      </c>
      <c r="J87" s="13">
        <f>IF(AnzahlZahlungen&lt;&gt;0,Tabelle1[[#This Row],[Startsaldo]]-Tabelle1[[#This Row],[Zahlung gesamt]],"")</f>
        <v>79287.954918424104</v>
      </c>
      <c r="K87" s="14">
        <f>K86+Tabelle1[[#This Row],[Zinsleistung]]</f>
        <v>27137.884436430246</v>
      </c>
    </row>
    <row r="88" spans="2:11" x14ac:dyDescent="0.25">
      <c r="B88" s="11">
        <f t="shared" si="3"/>
        <v>73</v>
      </c>
      <c r="C88" s="12">
        <f>IF((Startdatum),EOMONTH(C87,1))</f>
        <v>45473</v>
      </c>
      <c r="D88" s="13">
        <f t="shared" si="2"/>
        <v>79621.071212830939</v>
      </c>
      <c r="E88" s="14">
        <f>IF(AnzahlZahlungen&lt;&gt;"",IF(Tabelle1[[#This Row],[Startsaldo]]&lt;Rate,Tabelle1[[#This Row],[Startsaldo]],Rate),"")</f>
        <v>659.95573921665743</v>
      </c>
      <c r="F88" s="19"/>
      <c r="G88" s="13">
        <f>Tabelle1[[#This Row],[Planmässige Zahlung ]]+Tabelle1[[#This Row],[Sonderzahlung]]</f>
        <v>659.95573921665743</v>
      </c>
      <c r="H88" s="14">
        <f>Tabelle1[[#This Row],[Zahlung gesamt]]-Tabelle1[[#This Row],[Zinsleistung]]</f>
        <v>328.20127582986186</v>
      </c>
      <c r="I88" s="14">
        <f>IF(AnzahlZahlungen&lt;&gt;"",Tabelle1[[#This Row],[Startsaldo]]*Zinssatz/12,"")</f>
        <v>331.75446338679558</v>
      </c>
      <c r="J88" s="13">
        <f>IF(AnzahlZahlungen&lt;&gt;0,Tabelle1[[#This Row],[Startsaldo]]-Tabelle1[[#This Row],[Zahlung gesamt]],"")</f>
        <v>78961.115473614278</v>
      </c>
      <c r="K88" s="14">
        <f>K87+Tabelle1[[#This Row],[Zinsleistung]]</f>
        <v>27469.638899817041</v>
      </c>
    </row>
    <row r="89" spans="2:11" x14ac:dyDescent="0.25">
      <c r="B89" s="11">
        <f t="shared" si="3"/>
        <v>74</v>
      </c>
      <c r="C89" s="12">
        <f>IF((Startdatum),EOMONTH(C88,1))</f>
        <v>45504</v>
      </c>
      <c r="D89" s="13">
        <f t="shared" si="2"/>
        <v>79292.869937001073</v>
      </c>
      <c r="E89" s="14">
        <f>IF(AnzahlZahlungen&lt;&gt;"",IF(Tabelle1[[#This Row],[Startsaldo]]&lt;Rate,Tabelle1[[#This Row],[Startsaldo]],Rate),"")</f>
        <v>659.95573921665743</v>
      </c>
      <c r="F89" s="19"/>
      <c r="G89" s="13">
        <f>Tabelle1[[#This Row],[Planmässige Zahlung ]]+Tabelle1[[#This Row],[Sonderzahlung]]</f>
        <v>659.95573921665743</v>
      </c>
      <c r="H89" s="14">
        <f>Tabelle1[[#This Row],[Zahlung gesamt]]-Tabelle1[[#This Row],[Zinsleistung]]</f>
        <v>329.56878114581963</v>
      </c>
      <c r="I89" s="14">
        <f>IF(AnzahlZahlungen&lt;&gt;"",Tabelle1[[#This Row],[Startsaldo]]*Zinssatz/12,"")</f>
        <v>330.38695807083781</v>
      </c>
      <c r="J89" s="13">
        <f>IF(AnzahlZahlungen&lt;&gt;0,Tabelle1[[#This Row],[Startsaldo]]-Tabelle1[[#This Row],[Zahlung gesamt]],"")</f>
        <v>78632.914197784412</v>
      </c>
      <c r="K89" s="14">
        <f>K88+Tabelle1[[#This Row],[Zinsleistung]]</f>
        <v>27800.025857887878</v>
      </c>
    </row>
    <row r="90" spans="2:11" x14ac:dyDescent="0.25">
      <c r="B90" s="11">
        <f t="shared" si="3"/>
        <v>75</v>
      </c>
      <c r="C90" s="12">
        <f>IF((Startdatum),EOMONTH(C89,1))</f>
        <v>45535</v>
      </c>
      <c r="D90" s="13">
        <f t="shared" si="2"/>
        <v>78963.301155855253</v>
      </c>
      <c r="E90" s="14">
        <f>IF(AnzahlZahlungen&lt;&gt;"",IF(Tabelle1[[#This Row],[Startsaldo]]&lt;Rate,Tabelle1[[#This Row],[Startsaldo]],Rate),"")</f>
        <v>659.95573921665743</v>
      </c>
      <c r="F90" s="19"/>
      <c r="G90" s="13">
        <f>Tabelle1[[#This Row],[Planmässige Zahlung ]]+Tabelle1[[#This Row],[Sonderzahlung]]</f>
        <v>659.95573921665743</v>
      </c>
      <c r="H90" s="14">
        <f>Tabelle1[[#This Row],[Zahlung gesamt]]-Tabelle1[[#This Row],[Zinsleistung]]</f>
        <v>330.94198440059387</v>
      </c>
      <c r="I90" s="14">
        <f>IF(AnzahlZahlungen&lt;&gt;"",Tabelle1[[#This Row],[Startsaldo]]*Zinssatz/12,"")</f>
        <v>329.01375481606357</v>
      </c>
      <c r="J90" s="13">
        <f>IF(AnzahlZahlungen&lt;&gt;0,Tabelle1[[#This Row],[Startsaldo]]-Tabelle1[[#This Row],[Zahlung gesamt]],"")</f>
        <v>78303.345416638593</v>
      </c>
      <c r="K90" s="14">
        <f>K89+Tabelle1[[#This Row],[Zinsleistung]]</f>
        <v>28129.039612703942</v>
      </c>
    </row>
    <row r="91" spans="2:11" x14ac:dyDescent="0.25">
      <c r="B91" s="11">
        <f t="shared" si="3"/>
        <v>76</v>
      </c>
      <c r="C91" s="12">
        <f>IF((Startdatum),EOMONTH(C90,1))</f>
        <v>45565</v>
      </c>
      <c r="D91" s="13">
        <f t="shared" si="2"/>
        <v>78632.359171454664</v>
      </c>
      <c r="E91" s="14">
        <f>IF(AnzahlZahlungen&lt;&gt;"",IF(Tabelle1[[#This Row],[Startsaldo]]&lt;Rate,Tabelle1[[#This Row],[Startsaldo]],Rate),"")</f>
        <v>659.95573921665743</v>
      </c>
      <c r="F91" s="19"/>
      <c r="G91" s="13">
        <f>Tabelle1[[#This Row],[Planmässige Zahlung ]]+Tabelle1[[#This Row],[Sonderzahlung]]</f>
        <v>659.95573921665743</v>
      </c>
      <c r="H91" s="14">
        <f>Tabelle1[[#This Row],[Zahlung gesamt]]-Tabelle1[[#This Row],[Zinsleistung]]</f>
        <v>332.32090933559635</v>
      </c>
      <c r="I91" s="14">
        <f>IF(AnzahlZahlungen&lt;&gt;"",Tabelle1[[#This Row],[Startsaldo]]*Zinssatz/12,"")</f>
        <v>327.63482988106108</v>
      </c>
      <c r="J91" s="13">
        <f>IF(AnzahlZahlungen&lt;&gt;0,Tabelle1[[#This Row],[Startsaldo]]-Tabelle1[[#This Row],[Zahlung gesamt]],"")</f>
        <v>77972.403432238003</v>
      </c>
      <c r="K91" s="14">
        <f>K90+Tabelle1[[#This Row],[Zinsleistung]]</f>
        <v>28456.674442585005</v>
      </c>
    </row>
    <row r="92" spans="2:11" x14ac:dyDescent="0.25">
      <c r="B92" s="11">
        <f t="shared" si="3"/>
        <v>77</v>
      </c>
      <c r="C92" s="12">
        <f>IF((Startdatum),EOMONTH(C91,1))</f>
        <v>45596</v>
      </c>
      <c r="D92" s="13">
        <f t="shared" si="2"/>
        <v>78300.038262119066</v>
      </c>
      <c r="E92" s="14">
        <f>IF(AnzahlZahlungen&lt;&gt;"",IF(Tabelle1[[#This Row],[Startsaldo]]&lt;Rate,Tabelle1[[#This Row],[Startsaldo]],Rate),"")</f>
        <v>659.95573921665743</v>
      </c>
      <c r="F92" s="19"/>
      <c r="G92" s="13">
        <f>Tabelle1[[#This Row],[Planmässige Zahlung ]]+Tabelle1[[#This Row],[Sonderzahlung]]</f>
        <v>659.95573921665743</v>
      </c>
      <c r="H92" s="14">
        <f>Tabelle1[[#This Row],[Zahlung gesamt]]-Tabelle1[[#This Row],[Zinsleistung]]</f>
        <v>333.70557979116131</v>
      </c>
      <c r="I92" s="14">
        <f>IF(AnzahlZahlungen&lt;&gt;"",Tabelle1[[#This Row],[Startsaldo]]*Zinssatz/12,"")</f>
        <v>326.25015942549612</v>
      </c>
      <c r="J92" s="13">
        <f>IF(AnzahlZahlungen&lt;&gt;0,Tabelle1[[#This Row],[Startsaldo]]-Tabelle1[[#This Row],[Zahlung gesamt]],"")</f>
        <v>77640.082522902405</v>
      </c>
      <c r="K92" s="14">
        <f>K91+Tabelle1[[#This Row],[Zinsleistung]]</f>
        <v>28782.924602010502</v>
      </c>
    </row>
    <row r="93" spans="2:11" x14ac:dyDescent="0.25">
      <c r="B93" s="11">
        <f t="shared" si="3"/>
        <v>78</v>
      </c>
      <c r="C93" s="12">
        <f>IF((Startdatum),EOMONTH(C92,1))</f>
        <v>45626</v>
      </c>
      <c r="D93" s="13">
        <f t="shared" si="2"/>
        <v>77966.332682327906</v>
      </c>
      <c r="E93" s="14">
        <f>IF(AnzahlZahlungen&lt;&gt;"",IF(Tabelle1[[#This Row],[Startsaldo]]&lt;Rate,Tabelle1[[#This Row],[Startsaldo]],Rate),"")</f>
        <v>659.95573921665743</v>
      </c>
      <c r="F93" s="19"/>
      <c r="G93" s="13">
        <f>Tabelle1[[#This Row],[Planmässige Zahlung ]]+Tabelle1[[#This Row],[Sonderzahlung]]</f>
        <v>659.95573921665743</v>
      </c>
      <c r="H93" s="14">
        <f>Tabelle1[[#This Row],[Zahlung gesamt]]-Tabelle1[[#This Row],[Zinsleistung]]</f>
        <v>335.0960197069578</v>
      </c>
      <c r="I93" s="14">
        <f>IF(AnzahlZahlungen&lt;&gt;"",Tabelle1[[#This Row],[Startsaldo]]*Zinssatz/12,"")</f>
        <v>324.85971950969963</v>
      </c>
      <c r="J93" s="13">
        <f>IF(AnzahlZahlungen&lt;&gt;0,Tabelle1[[#This Row],[Startsaldo]]-Tabelle1[[#This Row],[Zahlung gesamt]],"")</f>
        <v>77306.376943111245</v>
      </c>
      <c r="K93" s="14">
        <f>K92+Tabelle1[[#This Row],[Zinsleistung]]</f>
        <v>29107.784321520201</v>
      </c>
    </row>
    <row r="94" spans="2:11" x14ac:dyDescent="0.25">
      <c r="B94" s="11">
        <f t="shared" si="3"/>
        <v>79</v>
      </c>
      <c r="C94" s="12">
        <f>IF((Startdatum),EOMONTH(C93,1))</f>
        <v>45657</v>
      </c>
      <c r="D94" s="13">
        <f t="shared" si="2"/>
        <v>77631.236662620955</v>
      </c>
      <c r="E94" s="14">
        <f>IF(AnzahlZahlungen&lt;&gt;"",IF(Tabelle1[[#This Row],[Startsaldo]]&lt;Rate,Tabelle1[[#This Row],[Startsaldo]],Rate),"")</f>
        <v>659.95573921665743</v>
      </c>
      <c r="F94" s="19"/>
      <c r="G94" s="13">
        <f>Tabelle1[[#This Row],[Planmässige Zahlung ]]+Tabelle1[[#This Row],[Sonderzahlung]]</f>
        <v>659.95573921665743</v>
      </c>
      <c r="H94" s="14">
        <f>Tabelle1[[#This Row],[Zahlung gesamt]]-Tabelle1[[#This Row],[Zinsleistung]]</f>
        <v>336.49225312240344</v>
      </c>
      <c r="I94" s="14">
        <f>IF(AnzahlZahlungen&lt;&gt;"",Tabelle1[[#This Row],[Startsaldo]]*Zinssatz/12,"")</f>
        <v>323.46348609425399</v>
      </c>
      <c r="J94" s="13">
        <f>IF(AnzahlZahlungen&lt;&gt;0,Tabelle1[[#This Row],[Startsaldo]]-Tabelle1[[#This Row],[Zahlung gesamt]],"")</f>
        <v>76971.280923404294</v>
      </c>
      <c r="K94" s="14">
        <f>K93+Tabelle1[[#This Row],[Zinsleistung]]</f>
        <v>29431.247807614454</v>
      </c>
    </row>
    <row r="95" spans="2:11" x14ac:dyDescent="0.25">
      <c r="B95" s="11">
        <f t="shared" si="3"/>
        <v>80</v>
      </c>
      <c r="C95" s="12">
        <f>IF((Startdatum),EOMONTH(C94,1))</f>
        <v>45688</v>
      </c>
      <c r="D95" s="13">
        <f t="shared" si="2"/>
        <v>77294.744409498555</v>
      </c>
      <c r="E95" s="14">
        <f>IF(AnzahlZahlungen&lt;&gt;"",IF(Tabelle1[[#This Row],[Startsaldo]]&lt;Rate,Tabelle1[[#This Row],[Startsaldo]],Rate),"")</f>
        <v>659.95573921665743</v>
      </c>
      <c r="F95" s="19"/>
      <c r="G95" s="13">
        <f>Tabelle1[[#This Row],[Planmässige Zahlung ]]+Tabelle1[[#This Row],[Sonderzahlung]]</f>
        <v>659.95573921665743</v>
      </c>
      <c r="H95" s="14">
        <f>Tabelle1[[#This Row],[Zahlung gesamt]]-Tabelle1[[#This Row],[Zinsleistung]]</f>
        <v>337.89430417708007</v>
      </c>
      <c r="I95" s="14">
        <f>IF(AnzahlZahlungen&lt;&gt;"",Tabelle1[[#This Row],[Startsaldo]]*Zinssatz/12,"")</f>
        <v>322.06143503957736</v>
      </c>
      <c r="J95" s="13">
        <f>IF(AnzahlZahlungen&lt;&gt;0,Tabelle1[[#This Row],[Startsaldo]]-Tabelle1[[#This Row],[Zahlung gesamt]],"")</f>
        <v>76634.788670281894</v>
      </c>
      <c r="K95" s="14">
        <f>K94+Tabelle1[[#This Row],[Zinsleistung]]</f>
        <v>29753.309242654032</v>
      </c>
    </row>
    <row r="96" spans="2:11" x14ac:dyDescent="0.25">
      <c r="B96" s="11">
        <f t="shared" si="3"/>
        <v>81</v>
      </c>
      <c r="C96" s="12">
        <f>IF((Startdatum),EOMONTH(C95,1))</f>
        <v>45716</v>
      </c>
      <c r="D96" s="13">
        <f t="shared" si="2"/>
        <v>76956.850105321471</v>
      </c>
      <c r="E96" s="14">
        <f>IF(AnzahlZahlungen&lt;&gt;"",IF(Tabelle1[[#This Row],[Startsaldo]]&lt;Rate,Tabelle1[[#This Row],[Startsaldo]],Rate),"")</f>
        <v>659.95573921665743</v>
      </c>
      <c r="F96" s="19"/>
      <c r="G96" s="13">
        <f>Tabelle1[[#This Row],[Planmässige Zahlung ]]+Tabelle1[[#This Row],[Sonderzahlung]]</f>
        <v>659.95573921665743</v>
      </c>
      <c r="H96" s="14">
        <f>Tabelle1[[#This Row],[Zahlung gesamt]]-Tabelle1[[#This Row],[Zinsleistung]]</f>
        <v>339.30219711115132</v>
      </c>
      <c r="I96" s="14">
        <f>IF(AnzahlZahlungen&lt;&gt;"",Tabelle1[[#This Row],[Startsaldo]]*Zinssatz/12,"")</f>
        <v>320.65354210550612</v>
      </c>
      <c r="J96" s="13">
        <f>IF(AnzahlZahlungen&lt;&gt;0,Tabelle1[[#This Row],[Startsaldo]]-Tabelle1[[#This Row],[Zahlung gesamt]],"")</f>
        <v>76296.894366104811</v>
      </c>
      <c r="K96" s="14">
        <f>K95+Tabelle1[[#This Row],[Zinsleistung]]</f>
        <v>30073.962784759537</v>
      </c>
    </row>
    <row r="97" spans="2:11" x14ac:dyDescent="0.25">
      <c r="B97" s="11">
        <f t="shared" si="3"/>
        <v>82</v>
      </c>
      <c r="C97" s="12">
        <f>IF((Startdatum),EOMONTH(C96,1))</f>
        <v>45747</v>
      </c>
      <c r="D97" s="13">
        <f t="shared" si="2"/>
        <v>76617.547908210327</v>
      </c>
      <c r="E97" s="14">
        <f>IF(AnzahlZahlungen&lt;&gt;"",IF(Tabelle1[[#This Row],[Startsaldo]]&lt;Rate,Tabelle1[[#This Row],[Startsaldo]],Rate),"")</f>
        <v>659.95573921665743</v>
      </c>
      <c r="F97" s="19"/>
      <c r="G97" s="13">
        <f>Tabelle1[[#This Row],[Planmässige Zahlung ]]+Tabelle1[[#This Row],[Sonderzahlung]]</f>
        <v>659.95573921665743</v>
      </c>
      <c r="H97" s="14">
        <f>Tabelle1[[#This Row],[Zahlung gesamt]]-Tabelle1[[#This Row],[Zinsleistung]]</f>
        <v>340.71595626578107</v>
      </c>
      <c r="I97" s="14">
        <f>IF(AnzahlZahlungen&lt;&gt;"",Tabelle1[[#This Row],[Startsaldo]]*Zinssatz/12,"")</f>
        <v>319.23978295087636</v>
      </c>
      <c r="J97" s="13">
        <f>IF(AnzahlZahlungen&lt;&gt;0,Tabelle1[[#This Row],[Startsaldo]]-Tabelle1[[#This Row],[Zahlung gesamt]],"")</f>
        <v>75957.592168993666</v>
      </c>
      <c r="K97" s="14">
        <f>K96+Tabelle1[[#This Row],[Zinsleistung]]</f>
        <v>30393.202567710414</v>
      </c>
    </row>
    <row r="98" spans="2:11" x14ac:dyDescent="0.25">
      <c r="B98" s="11">
        <f t="shared" si="3"/>
        <v>83</v>
      </c>
      <c r="C98" s="12">
        <f>IF((Startdatum),EOMONTH(C97,1))</f>
        <v>45777</v>
      </c>
      <c r="D98" s="13">
        <f t="shared" si="2"/>
        <v>76276.83195194455</v>
      </c>
      <c r="E98" s="14">
        <f>IF(AnzahlZahlungen&lt;&gt;"",IF(Tabelle1[[#This Row],[Startsaldo]]&lt;Rate,Tabelle1[[#This Row],[Startsaldo]],Rate),"")</f>
        <v>659.95573921665743</v>
      </c>
      <c r="F98" s="19"/>
      <c r="G98" s="13">
        <f>Tabelle1[[#This Row],[Planmässige Zahlung ]]+Tabelle1[[#This Row],[Sonderzahlung]]</f>
        <v>659.95573921665743</v>
      </c>
      <c r="H98" s="14">
        <f>Tabelle1[[#This Row],[Zahlung gesamt]]-Tabelle1[[#This Row],[Zinsleistung]]</f>
        <v>342.13560608355516</v>
      </c>
      <c r="I98" s="14">
        <f>IF(AnzahlZahlungen&lt;&gt;"",Tabelle1[[#This Row],[Startsaldo]]*Zinssatz/12,"")</f>
        <v>317.82013313310227</v>
      </c>
      <c r="J98" s="13">
        <f>IF(AnzahlZahlungen&lt;&gt;0,Tabelle1[[#This Row],[Startsaldo]]-Tabelle1[[#This Row],[Zahlung gesamt]],"")</f>
        <v>75616.87621272789</v>
      </c>
      <c r="K98" s="14">
        <f>K97+Tabelle1[[#This Row],[Zinsleistung]]</f>
        <v>30711.022700843518</v>
      </c>
    </row>
    <row r="99" spans="2:11" x14ac:dyDescent="0.25">
      <c r="B99" s="11">
        <f t="shared" si="3"/>
        <v>84</v>
      </c>
      <c r="C99" s="12">
        <f>IF((Startdatum),EOMONTH(C98,1))</f>
        <v>45808</v>
      </c>
      <c r="D99" s="13">
        <f t="shared" si="2"/>
        <v>75934.696345860997</v>
      </c>
      <c r="E99" s="14">
        <f>IF(AnzahlZahlungen&lt;&gt;"",IF(Tabelle1[[#This Row],[Startsaldo]]&lt;Rate,Tabelle1[[#This Row],[Startsaldo]],Rate),"")</f>
        <v>659.95573921665743</v>
      </c>
      <c r="F99" s="19"/>
      <c r="G99" s="13">
        <f>Tabelle1[[#This Row],[Planmässige Zahlung ]]+Tabelle1[[#This Row],[Sonderzahlung]]</f>
        <v>659.95573921665743</v>
      </c>
      <c r="H99" s="14">
        <f>Tabelle1[[#This Row],[Zahlung gesamt]]-Tabelle1[[#This Row],[Zinsleistung]]</f>
        <v>343.56117110890324</v>
      </c>
      <c r="I99" s="14">
        <f>IF(AnzahlZahlungen&lt;&gt;"",Tabelle1[[#This Row],[Startsaldo]]*Zinssatz/12,"")</f>
        <v>316.3945681077542</v>
      </c>
      <c r="J99" s="13">
        <f>IF(AnzahlZahlungen&lt;&gt;0,Tabelle1[[#This Row],[Startsaldo]]-Tabelle1[[#This Row],[Zahlung gesamt]],"")</f>
        <v>75274.740606644336</v>
      </c>
      <c r="K99" s="14">
        <f>K98+Tabelle1[[#This Row],[Zinsleistung]]</f>
        <v>31027.417268951271</v>
      </c>
    </row>
    <row r="100" spans="2:11" x14ac:dyDescent="0.25">
      <c r="B100" s="11">
        <f t="shared" si="3"/>
        <v>85</v>
      </c>
      <c r="C100" s="12">
        <f>IF((Startdatum),EOMONTH(C99,1))</f>
        <v>45838</v>
      </c>
      <c r="D100" s="13">
        <f t="shared" si="2"/>
        <v>75591.135174752097</v>
      </c>
      <c r="E100" s="14">
        <f>IF(AnzahlZahlungen&lt;&gt;"",IF(Tabelle1[[#This Row],[Startsaldo]]&lt;Rate,Tabelle1[[#This Row],[Startsaldo]],Rate),"")</f>
        <v>659.95573921665743</v>
      </c>
      <c r="F100" s="19"/>
      <c r="G100" s="13">
        <f>Tabelle1[[#This Row],[Planmässige Zahlung ]]+Tabelle1[[#This Row],[Sonderzahlung]]</f>
        <v>659.95573921665743</v>
      </c>
      <c r="H100" s="14">
        <f>Tabelle1[[#This Row],[Zahlung gesamt]]-Tabelle1[[#This Row],[Zinsleistung]]</f>
        <v>344.99267598852367</v>
      </c>
      <c r="I100" s="14">
        <f>IF(AnzahlZahlungen&lt;&gt;"",Tabelle1[[#This Row],[Startsaldo]]*Zinssatz/12,"")</f>
        <v>314.96306322813376</v>
      </c>
      <c r="J100" s="13">
        <f>IF(AnzahlZahlungen&lt;&gt;0,Tabelle1[[#This Row],[Startsaldo]]-Tabelle1[[#This Row],[Zahlung gesamt]],"")</f>
        <v>74931.179435535436</v>
      </c>
      <c r="K100" s="14">
        <f>K99+Tabelle1[[#This Row],[Zinsleistung]]</f>
        <v>31342.380332179404</v>
      </c>
    </row>
    <row r="101" spans="2:11" x14ac:dyDescent="0.25">
      <c r="B101" s="11">
        <f t="shared" si="3"/>
        <v>86</v>
      </c>
      <c r="C101" s="12">
        <f>IF((Startdatum),EOMONTH(C100,1))</f>
        <v>45869</v>
      </c>
      <c r="D101" s="13">
        <f t="shared" si="2"/>
        <v>75246.142498763569</v>
      </c>
      <c r="E101" s="14">
        <f>IF(AnzahlZahlungen&lt;&gt;"",IF(Tabelle1[[#This Row],[Startsaldo]]&lt;Rate,Tabelle1[[#This Row],[Startsaldo]],Rate),"")</f>
        <v>659.95573921665743</v>
      </c>
      <c r="F101" s="19"/>
      <c r="G101" s="13">
        <f>Tabelle1[[#This Row],[Planmässige Zahlung ]]+Tabelle1[[#This Row],[Sonderzahlung]]</f>
        <v>659.95573921665743</v>
      </c>
      <c r="H101" s="14">
        <f>Tabelle1[[#This Row],[Zahlung gesamt]]-Tabelle1[[#This Row],[Zinsleistung]]</f>
        <v>346.43014547180923</v>
      </c>
      <c r="I101" s="14">
        <f>IF(AnzahlZahlungen&lt;&gt;"",Tabelle1[[#This Row],[Startsaldo]]*Zinssatz/12,"")</f>
        <v>313.52559374484821</v>
      </c>
      <c r="J101" s="13">
        <f>IF(AnzahlZahlungen&lt;&gt;0,Tabelle1[[#This Row],[Startsaldo]]-Tabelle1[[#This Row],[Zahlung gesamt]],"")</f>
        <v>74586.186759546908</v>
      </c>
      <c r="K101" s="14">
        <f>K100+Tabelle1[[#This Row],[Zinsleistung]]</f>
        <v>31655.905925924253</v>
      </c>
    </row>
    <row r="102" spans="2:11" x14ac:dyDescent="0.25">
      <c r="B102" s="11">
        <f t="shared" si="3"/>
        <v>87</v>
      </c>
      <c r="C102" s="12">
        <f>IF((Startdatum),EOMONTH(C101,1))</f>
        <v>45900</v>
      </c>
      <c r="D102" s="13">
        <f t="shared" si="2"/>
        <v>74899.712353291761</v>
      </c>
      <c r="E102" s="14">
        <f>IF(AnzahlZahlungen&lt;&gt;"",IF(Tabelle1[[#This Row],[Startsaldo]]&lt;Rate,Tabelle1[[#This Row],[Startsaldo]],Rate),"")</f>
        <v>659.95573921665743</v>
      </c>
      <c r="F102" s="19"/>
      <c r="G102" s="13">
        <f>Tabelle1[[#This Row],[Planmässige Zahlung ]]+Tabelle1[[#This Row],[Sonderzahlung]]</f>
        <v>659.95573921665743</v>
      </c>
      <c r="H102" s="14">
        <f>Tabelle1[[#This Row],[Zahlung gesamt]]-Tabelle1[[#This Row],[Zinsleistung]]</f>
        <v>347.8736044112751</v>
      </c>
      <c r="I102" s="14">
        <f>IF(AnzahlZahlungen&lt;&gt;"",Tabelle1[[#This Row],[Startsaldo]]*Zinssatz/12,"")</f>
        <v>312.08213480538234</v>
      </c>
      <c r="J102" s="13">
        <f>IF(AnzahlZahlungen&lt;&gt;0,Tabelle1[[#This Row],[Startsaldo]]-Tabelle1[[#This Row],[Zahlung gesamt]],"")</f>
        <v>74239.756614075101</v>
      </c>
      <c r="K102" s="14">
        <f>K101+Tabelle1[[#This Row],[Zinsleistung]]</f>
        <v>31967.988060729636</v>
      </c>
    </row>
    <row r="103" spans="2:11" x14ac:dyDescent="0.25">
      <c r="B103" s="11">
        <f t="shared" si="3"/>
        <v>88</v>
      </c>
      <c r="C103" s="12">
        <f>IF((Startdatum),EOMONTH(C102,1))</f>
        <v>45930</v>
      </c>
      <c r="D103" s="13">
        <f t="shared" si="2"/>
        <v>74551.838748880487</v>
      </c>
      <c r="E103" s="14">
        <f>IF(AnzahlZahlungen&lt;&gt;"",IF(Tabelle1[[#This Row],[Startsaldo]]&lt;Rate,Tabelle1[[#This Row],[Startsaldo]],Rate),"")</f>
        <v>659.95573921665743</v>
      </c>
      <c r="F103" s="19"/>
      <c r="G103" s="13">
        <f>Tabelle1[[#This Row],[Planmässige Zahlung ]]+Tabelle1[[#This Row],[Sonderzahlung]]</f>
        <v>659.95573921665743</v>
      </c>
      <c r="H103" s="14">
        <f>Tabelle1[[#This Row],[Zahlung gesamt]]-Tabelle1[[#This Row],[Zinsleistung]]</f>
        <v>349.3230777629887</v>
      </c>
      <c r="I103" s="14">
        <f>IF(AnzahlZahlungen&lt;&gt;"",Tabelle1[[#This Row],[Startsaldo]]*Zinssatz/12,"")</f>
        <v>310.63266145366873</v>
      </c>
      <c r="J103" s="13">
        <f>IF(AnzahlZahlungen&lt;&gt;0,Tabelle1[[#This Row],[Startsaldo]]-Tabelle1[[#This Row],[Zahlung gesamt]],"")</f>
        <v>73891.883009663827</v>
      </c>
      <c r="K103" s="14">
        <f>K102+Tabelle1[[#This Row],[Zinsleistung]]</f>
        <v>32278.620722183306</v>
      </c>
    </row>
    <row r="104" spans="2:11" x14ac:dyDescent="0.25">
      <c r="B104" s="11">
        <f t="shared" si="3"/>
        <v>89</v>
      </c>
      <c r="C104" s="12">
        <f>IF((Startdatum),EOMONTH(C103,1))</f>
        <v>45961</v>
      </c>
      <c r="D104" s="13">
        <f t="shared" si="2"/>
        <v>74202.515671117493</v>
      </c>
      <c r="E104" s="14">
        <f>IF(AnzahlZahlungen&lt;&gt;"",IF(Tabelle1[[#This Row],[Startsaldo]]&lt;Rate,Tabelle1[[#This Row],[Startsaldo]],Rate),"")</f>
        <v>659.95573921665743</v>
      </c>
      <c r="F104" s="19"/>
      <c r="G104" s="13">
        <f>Tabelle1[[#This Row],[Planmässige Zahlung ]]+Tabelle1[[#This Row],[Sonderzahlung]]</f>
        <v>659.95573921665743</v>
      </c>
      <c r="H104" s="14">
        <f>Tabelle1[[#This Row],[Zahlung gesamt]]-Tabelle1[[#This Row],[Zinsleistung]]</f>
        <v>350.77859058700119</v>
      </c>
      <c r="I104" s="14">
        <f>IF(AnzahlZahlungen&lt;&gt;"",Tabelle1[[#This Row],[Startsaldo]]*Zinssatz/12,"")</f>
        <v>309.17714862965624</v>
      </c>
      <c r="J104" s="13">
        <f>IF(AnzahlZahlungen&lt;&gt;0,Tabelle1[[#This Row],[Startsaldo]]-Tabelle1[[#This Row],[Zahlung gesamt]],"")</f>
        <v>73542.559931900832</v>
      </c>
      <c r="K104" s="14">
        <f>K103+Tabelle1[[#This Row],[Zinsleistung]]</f>
        <v>32587.797870812963</v>
      </c>
    </row>
    <row r="105" spans="2:11" x14ac:dyDescent="0.25">
      <c r="B105" s="11">
        <f t="shared" si="3"/>
        <v>90</v>
      </c>
      <c r="C105" s="12">
        <f>IF((Startdatum),EOMONTH(C104,1))</f>
        <v>45991</v>
      </c>
      <c r="D105" s="13">
        <f t="shared" si="2"/>
        <v>73851.737080530496</v>
      </c>
      <c r="E105" s="14">
        <f>IF(AnzahlZahlungen&lt;&gt;"",IF(Tabelle1[[#This Row],[Startsaldo]]&lt;Rate,Tabelle1[[#This Row],[Startsaldo]],Rate),"")</f>
        <v>659.95573921665743</v>
      </c>
      <c r="F105" s="19"/>
      <c r="G105" s="13">
        <f>Tabelle1[[#This Row],[Planmässige Zahlung ]]+Tabelle1[[#This Row],[Sonderzahlung]]</f>
        <v>659.95573921665743</v>
      </c>
      <c r="H105" s="14">
        <f>Tabelle1[[#This Row],[Zahlung gesamt]]-Tabelle1[[#This Row],[Zinsleistung]]</f>
        <v>352.24016804778034</v>
      </c>
      <c r="I105" s="14">
        <f>IF(AnzahlZahlungen&lt;&gt;"",Tabelle1[[#This Row],[Startsaldo]]*Zinssatz/12,"")</f>
        <v>307.71557116887709</v>
      </c>
      <c r="J105" s="13">
        <f>IF(AnzahlZahlungen&lt;&gt;0,Tabelle1[[#This Row],[Startsaldo]]-Tabelle1[[#This Row],[Zahlung gesamt]],"")</f>
        <v>73191.781341313836</v>
      </c>
      <c r="K105" s="14">
        <f>K104+Tabelle1[[#This Row],[Zinsleistung]]</f>
        <v>32895.513441981842</v>
      </c>
    </row>
    <row r="106" spans="2:11" x14ac:dyDescent="0.25">
      <c r="B106" s="11">
        <f t="shared" si="3"/>
        <v>91</v>
      </c>
      <c r="C106" s="12">
        <f>IF((Startdatum),EOMONTH(C105,1))</f>
        <v>46022</v>
      </c>
      <c r="D106" s="13">
        <f t="shared" si="2"/>
        <v>73499.496912482718</v>
      </c>
      <c r="E106" s="14">
        <f>IF(AnzahlZahlungen&lt;&gt;"",IF(Tabelle1[[#This Row],[Startsaldo]]&lt;Rate,Tabelle1[[#This Row],[Startsaldo]],Rate),"")</f>
        <v>659.95573921665743</v>
      </c>
      <c r="F106" s="19"/>
      <c r="G106" s="13">
        <f>Tabelle1[[#This Row],[Planmässige Zahlung ]]+Tabelle1[[#This Row],[Sonderzahlung]]</f>
        <v>659.95573921665743</v>
      </c>
      <c r="H106" s="14">
        <f>Tabelle1[[#This Row],[Zahlung gesamt]]-Tabelle1[[#This Row],[Zinsleistung]]</f>
        <v>353.70783541464613</v>
      </c>
      <c r="I106" s="14">
        <f>IF(AnzahlZahlungen&lt;&gt;"",Tabelle1[[#This Row],[Startsaldo]]*Zinssatz/12,"")</f>
        <v>306.24790380201131</v>
      </c>
      <c r="J106" s="13">
        <f>IF(AnzahlZahlungen&lt;&gt;0,Tabelle1[[#This Row],[Startsaldo]]-Tabelle1[[#This Row],[Zahlung gesamt]],"")</f>
        <v>72839.541173266058</v>
      </c>
      <c r="K106" s="14">
        <f>K105+Tabelle1[[#This Row],[Zinsleistung]]</f>
        <v>33201.761345783852</v>
      </c>
    </row>
    <row r="107" spans="2:11" x14ac:dyDescent="0.25">
      <c r="B107" s="11">
        <f t="shared" si="3"/>
        <v>92</v>
      </c>
      <c r="C107" s="12">
        <f>IF((Startdatum),EOMONTH(C106,1))</f>
        <v>46053</v>
      </c>
      <c r="D107" s="13">
        <f t="shared" si="2"/>
        <v>73145.789077068068</v>
      </c>
      <c r="E107" s="14">
        <f>IF(AnzahlZahlungen&lt;&gt;"",IF(Tabelle1[[#This Row],[Startsaldo]]&lt;Rate,Tabelle1[[#This Row],[Startsaldo]],Rate),"")</f>
        <v>659.95573921665743</v>
      </c>
      <c r="F107" s="19"/>
      <c r="G107" s="13">
        <f>Tabelle1[[#This Row],[Planmässige Zahlung ]]+Tabelle1[[#This Row],[Sonderzahlung]]</f>
        <v>659.95573921665743</v>
      </c>
      <c r="H107" s="14">
        <f>Tabelle1[[#This Row],[Zahlung gesamt]]-Tabelle1[[#This Row],[Zinsleistung]]</f>
        <v>355.18161806220712</v>
      </c>
      <c r="I107" s="14">
        <f>IF(AnzahlZahlungen&lt;&gt;"",Tabelle1[[#This Row],[Startsaldo]]*Zinssatz/12,"")</f>
        <v>304.77412115445031</v>
      </c>
      <c r="J107" s="13">
        <f>IF(AnzahlZahlungen&lt;&gt;0,Tabelle1[[#This Row],[Startsaldo]]-Tabelle1[[#This Row],[Zahlung gesamt]],"")</f>
        <v>72485.833337851407</v>
      </c>
      <c r="K107" s="14">
        <f>K106+Tabelle1[[#This Row],[Zinsleistung]]</f>
        <v>33506.535466938301</v>
      </c>
    </row>
    <row r="108" spans="2:11" x14ac:dyDescent="0.25">
      <c r="B108" s="11">
        <f t="shared" si="3"/>
        <v>93</v>
      </c>
      <c r="C108" s="12">
        <f>IF((Startdatum),EOMONTH(C107,1))</f>
        <v>46081</v>
      </c>
      <c r="D108" s="13">
        <f t="shared" si="2"/>
        <v>72790.607459005856</v>
      </c>
      <c r="E108" s="14">
        <f>IF(AnzahlZahlungen&lt;&gt;"",IF(Tabelle1[[#This Row],[Startsaldo]]&lt;Rate,Tabelle1[[#This Row],[Startsaldo]],Rate),"")</f>
        <v>659.95573921665743</v>
      </c>
      <c r="F108" s="19"/>
      <c r="G108" s="13">
        <f>Tabelle1[[#This Row],[Planmässige Zahlung ]]+Tabelle1[[#This Row],[Sonderzahlung]]</f>
        <v>659.95573921665743</v>
      </c>
      <c r="H108" s="14">
        <f>Tabelle1[[#This Row],[Zahlung gesamt]]-Tabelle1[[#This Row],[Zinsleistung]]</f>
        <v>356.6615414707997</v>
      </c>
      <c r="I108" s="14">
        <f>IF(AnzahlZahlungen&lt;&gt;"",Tabelle1[[#This Row],[Startsaldo]]*Zinssatz/12,"")</f>
        <v>303.29419774585773</v>
      </c>
      <c r="J108" s="13">
        <f>IF(AnzahlZahlungen&lt;&gt;0,Tabelle1[[#This Row],[Startsaldo]]-Tabelle1[[#This Row],[Zahlung gesamt]],"")</f>
        <v>72130.651719789195</v>
      </c>
      <c r="K108" s="14">
        <f>K107+Tabelle1[[#This Row],[Zinsleistung]]</f>
        <v>33809.829664684163</v>
      </c>
    </row>
    <row r="109" spans="2:11" x14ac:dyDescent="0.25">
      <c r="B109" s="11">
        <f t="shared" si="3"/>
        <v>94</v>
      </c>
      <c r="C109" s="12">
        <f>IF((Startdatum),EOMONTH(C108,1))</f>
        <v>46112</v>
      </c>
      <c r="D109" s="13">
        <f t="shared" si="2"/>
        <v>72433.945917535049</v>
      </c>
      <c r="E109" s="14">
        <f>IF(AnzahlZahlungen&lt;&gt;"",IF(Tabelle1[[#This Row],[Startsaldo]]&lt;Rate,Tabelle1[[#This Row],[Startsaldo]],Rate),"")</f>
        <v>659.95573921665743</v>
      </c>
      <c r="F109" s="19"/>
      <c r="G109" s="13">
        <f>Tabelle1[[#This Row],[Planmässige Zahlung ]]+Tabelle1[[#This Row],[Sonderzahlung]]</f>
        <v>659.95573921665743</v>
      </c>
      <c r="H109" s="14">
        <f>Tabelle1[[#This Row],[Zahlung gesamt]]-Tabelle1[[#This Row],[Zinsleistung]]</f>
        <v>358.14763122692801</v>
      </c>
      <c r="I109" s="14">
        <f>IF(AnzahlZahlungen&lt;&gt;"",Tabelle1[[#This Row],[Startsaldo]]*Zinssatz/12,"")</f>
        <v>301.80810798972942</v>
      </c>
      <c r="J109" s="13">
        <f>IF(AnzahlZahlungen&lt;&gt;0,Tabelle1[[#This Row],[Startsaldo]]-Tabelle1[[#This Row],[Zahlung gesamt]],"")</f>
        <v>71773.990178318389</v>
      </c>
      <c r="K109" s="14">
        <f>K108+Tabelle1[[#This Row],[Zinsleistung]]</f>
        <v>34111.637772673894</v>
      </c>
    </row>
    <row r="110" spans="2:11" x14ac:dyDescent="0.25">
      <c r="B110" s="11">
        <f t="shared" si="3"/>
        <v>95</v>
      </c>
      <c r="C110" s="12">
        <f>IF((Startdatum),EOMONTH(C109,1))</f>
        <v>46142</v>
      </c>
      <c r="D110" s="13">
        <f t="shared" si="2"/>
        <v>72075.798286308127</v>
      </c>
      <c r="E110" s="14">
        <f>IF(AnzahlZahlungen&lt;&gt;"",IF(Tabelle1[[#This Row],[Startsaldo]]&lt;Rate,Tabelle1[[#This Row],[Startsaldo]],Rate),"")</f>
        <v>659.95573921665743</v>
      </c>
      <c r="F110" s="19"/>
      <c r="G110" s="13">
        <f>Tabelle1[[#This Row],[Planmässige Zahlung ]]+Tabelle1[[#This Row],[Sonderzahlung]]</f>
        <v>659.95573921665743</v>
      </c>
      <c r="H110" s="14">
        <f>Tabelle1[[#This Row],[Zahlung gesamt]]-Tabelle1[[#This Row],[Zinsleistung]]</f>
        <v>359.63991302370692</v>
      </c>
      <c r="I110" s="14">
        <f>IF(AnzahlZahlungen&lt;&gt;"",Tabelle1[[#This Row],[Startsaldo]]*Zinssatz/12,"")</f>
        <v>300.31582619295051</v>
      </c>
      <c r="J110" s="13">
        <f>IF(AnzahlZahlungen&lt;&gt;0,Tabelle1[[#This Row],[Startsaldo]]-Tabelle1[[#This Row],[Zahlung gesamt]],"")</f>
        <v>71415.842547091466</v>
      </c>
      <c r="K110" s="14">
        <f>K109+Tabelle1[[#This Row],[Zinsleistung]]</f>
        <v>34411.953598866843</v>
      </c>
    </row>
    <row r="111" spans="2:11" x14ac:dyDescent="0.25">
      <c r="B111" s="11">
        <f t="shared" si="3"/>
        <v>96</v>
      </c>
      <c r="C111" s="12">
        <f>IF((Startdatum),EOMONTH(C110,1))</f>
        <v>46173</v>
      </c>
      <c r="D111" s="13">
        <f t="shared" si="2"/>
        <v>71716.158373284416</v>
      </c>
      <c r="E111" s="14">
        <f>IF(AnzahlZahlungen&lt;&gt;"",IF(Tabelle1[[#This Row],[Startsaldo]]&lt;Rate,Tabelle1[[#This Row],[Startsaldo]],Rate),"")</f>
        <v>659.95573921665743</v>
      </c>
      <c r="F111" s="19"/>
      <c r="G111" s="13">
        <f>Tabelle1[[#This Row],[Planmässige Zahlung ]]+Tabelle1[[#This Row],[Sonderzahlung]]</f>
        <v>659.95573921665743</v>
      </c>
      <c r="H111" s="14">
        <f>Tabelle1[[#This Row],[Zahlung gesamt]]-Tabelle1[[#This Row],[Zinsleistung]]</f>
        <v>361.13841266130572</v>
      </c>
      <c r="I111" s="14">
        <f>IF(AnzahlZahlungen&lt;&gt;"",Tabelle1[[#This Row],[Startsaldo]]*Zinssatz/12,"")</f>
        <v>298.81732655535171</v>
      </c>
      <c r="J111" s="13">
        <f>IF(AnzahlZahlungen&lt;&gt;0,Tabelle1[[#This Row],[Startsaldo]]-Tabelle1[[#This Row],[Zahlung gesamt]],"")</f>
        <v>71056.202634067755</v>
      </c>
      <c r="K111" s="14">
        <f>K110+Tabelle1[[#This Row],[Zinsleistung]]</f>
        <v>34710.770925422192</v>
      </c>
    </row>
    <row r="112" spans="2:11" x14ac:dyDescent="0.25">
      <c r="B112" s="11">
        <f t="shared" si="3"/>
        <v>97</v>
      </c>
      <c r="C112" s="12">
        <f>IF((Startdatum),EOMONTH(C111,1))</f>
        <v>46203</v>
      </c>
      <c r="D112" s="13">
        <f t="shared" si="2"/>
        <v>71355.019960623104</v>
      </c>
      <c r="E112" s="14">
        <f>IF(AnzahlZahlungen&lt;&gt;"",IF(Tabelle1[[#This Row],[Startsaldo]]&lt;Rate,Tabelle1[[#This Row],[Startsaldo]],Rate),"")</f>
        <v>659.95573921665743</v>
      </c>
      <c r="F112" s="19"/>
      <c r="G112" s="13">
        <f>Tabelle1[[#This Row],[Planmässige Zahlung ]]+Tabelle1[[#This Row],[Sonderzahlung]]</f>
        <v>659.95573921665743</v>
      </c>
      <c r="H112" s="14">
        <f>Tabelle1[[#This Row],[Zahlung gesamt]]-Tabelle1[[#This Row],[Zinsleistung]]</f>
        <v>362.64315604739448</v>
      </c>
      <c r="I112" s="14">
        <f>IF(AnzahlZahlungen&lt;&gt;"",Tabelle1[[#This Row],[Startsaldo]]*Zinssatz/12,"")</f>
        <v>297.31258316926295</v>
      </c>
      <c r="J112" s="13">
        <f>IF(AnzahlZahlungen&lt;&gt;0,Tabelle1[[#This Row],[Startsaldo]]-Tabelle1[[#This Row],[Zahlung gesamt]],"")</f>
        <v>70695.064221406443</v>
      </c>
      <c r="K112" s="14">
        <f>K111+Tabelle1[[#This Row],[Zinsleistung]]</f>
        <v>35008.083508591451</v>
      </c>
    </row>
    <row r="113" spans="2:11" x14ac:dyDescent="0.25">
      <c r="B113" s="11">
        <f t="shared" si="3"/>
        <v>98</v>
      </c>
      <c r="C113" s="12">
        <f>IF((Startdatum),EOMONTH(C112,1))</f>
        <v>46234</v>
      </c>
      <c r="D113" s="13">
        <f t="shared" si="2"/>
        <v>70992.376804575702</v>
      </c>
      <c r="E113" s="14">
        <f>IF(AnzahlZahlungen&lt;&gt;"",IF(Tabelle1[[#This Row],[Startsaldo]]&lt;Rate,Tabelle1[[#This Row],[Startsaldo]],Rate),"")</f>
        <v>659.95573921665743</v>
      </c>
      <c r="F113" s="19"/>
      <c r="G113" s="13">
        <f>Tabelle1[[#This Row],[Planmässige Zahlung ]]+Tabelle1[[#This Row],[Sonderzahlung]]</f>
        <v>659.95573921665743</v>
      </c>
      <c r="H113" s="14">
        <f>Tabelle1[[#This Row],[Zahlung gesamt]]-Tabelle1[[#This Row],[Zinsleistung]]</f>
        <v>364.15416919759201</v>
      </c>
      <c r="I113" s="14">
        <f>IF(AnzahlZahlungen&lt;&gt;"",Tabelle1[[#This Row],[Startsaldo]]*Zinssatz/12,"")</f>
        <v>295.80157001906542</v>
      </c>
      <c r="J113" s="13">
        <f>IF(AnzahlZahlungen&lt;&gt;0,Tabelle1[[#This Row],[Startsaldo]]-Tabelle1[[#This Row],[Zahlung gesamt]],"")</f>
        <v>70332.421065359042</v>
      </c>
      <c r="K113" s="14">
        <f>K112+Tabelle1[[#This Row],[Zinsleistung]]</f>
        <v>35303.885078610518</v>
      </c>
    </row>
    <row r="114" spans="2:11" x14ac:dyDescent="0.25">
      <c r="B114" s="11">
        <f t="shared" si="3"/>
        <v>99</v>
      </c>
      <c r="C114" s="12">
        <f>IF((Startdatum),EOMONTH(C113,1))</f>
        <v>46265</v>
      </c>
      <c r="D114" s="13">
        <f t="shared" si="2"/>
        <v>70628.222635378115</v>
      </c>
      <c r="E114" s="14">
        <f>IF(AnzahlZahlungen&lt;&gt;"",IF(Tabelle1[[#This Row],[Startsaldo]]&lt;Rate,Tabelle1[[#This Row],[Startsaldo]],Rate),"")</f>
        <v>659.95573921665743</v>
      </c>
      <c r="F114" s="19"/>
      <c r="G114" s="13">
        <f>Tabelle1[[#This Row],[Planmässige Zahlung ]]+Tabelle1[[#This Row],[Sonderzahlung]]</f>
        <v>659.95573921665743</v>
      </c>
      <c r="H114" s="14">
        <f>Tabelle1[[#This Row],[Zahlung gesamt]]-Tabelle1[[#This Row],[Zinsleistung]]</f>
        <v>365.67147823591529</v>
      </c>
      <c r="I114" s="14">
        <f>IF(AnzahlZahlungen&lt;&gt;"",Tabelle1[[#This Row],[Startsaldo]]*Zinssatz/12,"")</f>
        <v>294.28426098074215</v>
      </c>
      <c r="J114" s="13">
        <f>IF(AnzahlZahlungen&lt;&gt;0,Tabelle1[[#This Row],[Startsaldo]]-Tabelle1[[#This Row],[Zahlung gesamt]],"")</f>
        <v>69968.266896161454</v>
      </c>
      <c r="K114" s="14">
        <f>K113+Tabelle1[[#This Row],[Zinsleistung]]</f>
        <v>35598.169339591259</v>
      </c>
    </row>
    <row r="115" spans="2:11" x14ac:dyDescent="0.25">
      <c r="B115" s="11">
        <f t="shared" si="3"/>
        <v>100</v>
      </c>
      <c r="C115" s="12">
        <f>IF((Startdatum),EOMONTH(C114,1))</f>
        <v>46295</v>
      </c>
      <c r="D115" s="13">
        <f t="shared" si="2"/>
        <v>70262.551157142196</v>
      </c>
      <c r="E115" s="14">
        <f>IF(AnzahlZahlungen&lt;&gt;"",IF(Tabelle1[[#This Row],[Startsaldo]]&lt;Rate,Tabelle1[[#This Row],[Startsaldo]],Rate),"")</f>
        <v>659.95573921665743</v>
      </c>
      <c r="F115" s="19"/>
      <c r="G115" s="13">
        <f>Tabelle1[[#This Row],[Planmässige Zahlung ]]+Tabelle1[[#This Row],[Sonderzahlung]]</f>
        <v>659.95573921665743</v>
      </c>
      <c r="H115" s="14">
        <f>Tabelle1[[#This Row],[Zahlung gesamt]]-Tabelle1[[#This Row],[Zinsleistung]]</f>
        <v>367.19510939523161</v>
      </c>
      <c r="I115" s="14">
        <f>IF(AnzahlZahlungen&lt;&gt;"",Tabelle1[[#This Row],[Startsaldo]]*Zinssatz/12,"")</f>
        <v>292.76062982142582</v>
      </c>
      <c r="J115" s="13">
        <f>IF(AnzahlZahlungen&lt;&gt;0,Tabelle1[[#This Row],[Startsaldo]]-Tabelle1[[#This Row],[Zahlung gesamt]],"")</f>
        <v>69602.595417925535</v>
      </c>
      <c r="K115" s="14">
        <f>K114+Tabelle1[[#This Row],[Zinsleistung]]</f>
        <v>35890.929969412682</v>
      </c>
    </row>
    <row r="116" spans="2:11" x14ac:dyDescent="0.25">
      <c r="B116" s="11">
        <f t="shared" si="3"/>
        <v>101</v>
      </c>
      <c r="C116" s="12">
        <f>IF((Startdatum),EOMONTH(C115,1))</f>
        <v>46326</v>
      </c>
      <c r="D116" s="13">
        <f t="shared" si="2"/>
        <v>69895.356047746958</v>
      </c>
      <c r="E116" s="14">
        <f>IF(AnzahlZahlungen&lt;&gt;"",IF(Tabelle1[[#This Row],[Startsaldo]]&lt;Rate,Tabelle1[[#This Row],[Startsaldo]],Rate),"")</f>
        <v>659.95573921665743</v>
      </c>
      <c r="F116" s="19"/>
      <c r="G116" s="13">
        <f>Tabelle1[[#This Row],[Planmässige Zahlung ]]+Tabelle1[[#This Row],[Sonderzahlung]]</f>
        <v>659.95573921665743</v>
      </c>
      <c r="H116" s="14">
        <f>Tabelle1[[#This Row],[Zahlung gesamt]]-Tabelle1[[#This Row],[Zinsleistung]]</f>
        <v>368.72508901771175</v>
      </c>
      <c r="I116" s="14">
        <f>IF(AnzahlZahlungen&lt;&gt;"",Tabelle1[[#This Row],[Startsaldo]]*Zinssatz/12,"")</f>
        <v>291.23065019894568</v>
      </c>
      <c r="J116" s="13">
        <f>IF(AnzahlZahlungen&lt;&gt;0,Tabelle1[[#This Row],[Startsaldo]]-Tabelle1[[#This Row],[Zahlung gesamt]],"")</f>
        <v>69235.400308530297</v>
      </c>
      <c r="K116" s="14">
        <f>K115+Tabelle1[[#This Row],[Zinsleistung]]</f>
        <v>36182.160619611626</v>
      </c>
    </row>
    <row r="117" spans="2:11" x14ac:dyDescent="0.25">
      <c r="B117" s="11">
        <f t="shared" si="3"/>
        <v>102</v>
      </c>
      <c r="C117" s="12">
        <f>IF((Startdatum),EOMONTH(C116,1))</f>
        <v>46356</v>
      </c>
      <c r="D117" s="13">
        <f t="shared" si="2"/>
        <v>69526.630958729249</v>
      </c>
      <c r="E117" s="14">
        <f>IF(AnzahlZahlungen&lt;&gt;"",IF(Tabelle1[[#This Row],[Startsaldo]]&lt;Rate,Tabelle1[[#This Row],[Startsaldo]],Rate),"")</f>
        <v>659.95573921665743</v>
      </c>
      <c r="F117" s="19"/>
      <c r="G117" s="13">
        <f>Tabelle1[[#This Row],[Planmässige Zahlung ]]+Tabelle1[[#This Row],[Sonderzahlung]]</f>
        <v>659.95573921665743</v>
      </c>
      <c r="H117" s="14">
        <f>Tabelle1[[#This Row],[Zahlung gesamt]]-Tabelle1[[#This Row],[Zinsleistung]]</f>
        <v>370.26144355528555</v>
      </c>
      <c r="I117" s="14">
        <f>IF(AnzahlZahlungen&lt;&gt;"",Tabelle1[[#This Row],[Startsaldo]]*Zinssatz/12,"")</f>
        <v>289.69429566137188</v>
      </c>
      <c r="J117" s="13">
        <f>IF(AnzahlZahlungen&lt;&gt;0,Tabelle1[[#This Row],[Startsaldo]]-Tabelle1[[#This Row],[Zahlung gesamt]],"")</f>
        <v>68866.675219512588</v>
      </c>
      <c r="K117" s="14">
        <f>K116+Tabelle1[[#This Row],[Zinsleistung]]</f>
        <v>36471.854915272997</v>
      </c>
    </row>
    <row r="118" spans="2:11" x14ac:dyDescent="0.25">
      <c r="B118" s="11">
        <f t="shared" si="3"/>
        <v>103</v>
      </c>
      <c r="C118" s="12">
        <f>IF((Startdatum),EOMONTH(C117,1))</f>
        <v>46387</v>
      </c>
      <c r="D118" s="13">
        <f t="shared" si="2"/>
        <v>69156.369515173967</v>
      </c>
      <c r="E118" s="14">
        <f>IF(AnzahlZahlungen&lt;&gt;"",IF(Tabelle1[[#This Row],[Startsaldo]]&lt;Rate,Tabelle1[[#This Row],[Startsaldo]],Rate),"")</f>
        <v>659.95573921665743</v>
      </c>
      <c r="F118" s="19"/>
      <c r="G118" s="13">
        <f>Tabelle1[[#This Row],[Planmässige Zahlung ]]+Tabelle1[[#This Row],[Sonderzahlung]]</f>
        <v>659.95573921665743</v>
      </c>
      <c r="H118" s="14">
        <f>Tabelle1[[#This Row],[Zahlung gesamt]]-Tabelle1[[#This Row],[Zinsleistung]]</f>
        <v>371.80419957009923</v>
      </c>
      <c r="I118" s="14">
        <f>IF(AnzahlZahlungen&lt;&gt;"",Tabelle1[[#This Row],[Startsaldo]]*Zinssatz/12,"")</f>
        <v>288.15153964655821</v>
      </c>
      <c r="J118" s="13">
        <f>IF(AnzahlZahlungen&lt;&gt;0,Tabelle1[[#This Row],[Startsaldo]]-Tabelle1[[#This Row],[Zahlung gesamt]],"")</f>
        <v>68496.413775957306</v>
      </c>
      <c r="K118" s="14">
        <f>K117+Tabelle1[[#This Row],[Zinsleistung]]</f>
        <v>36760.006454919552</v>
      </c>
    </row>
    <row r="119" spans="2:11" x14ac:dyDescent="0.25">
      <c r="B119" s="11">
        <f t="shared" si="3"/>
        <v>104</v>
      </c>
      <c r="C119" s="12">
        <f>IF((Startdatum),EOMONTH(C118,1))</f>
        <v>46418</v>
      </c>
      <c r="D119" s="13">
        <f t="shared" si="2"/>
        <v>68784.565315603861</v>
      </c>
      <c r="E119" s="14">
        <f>IF(AnzahlZahlungen&lt;&gt;"",IF(Tabelle1[[#This Row],[Startsaldo]]&lt;Rate,Tabelle1[[#This Row],[Startsaldo]],Rate),"")</f>
        <v>659.95573921665743</v>
      </c>
      <c r="F119" s="19"/>
      <c r="G119" s="13">
        <f>Tabelle1[[#This Row],[Planmässige Zahlung ]]+Tabelle1[[#This Row],[Sonderzahlung]]</f>
        <v>659.95573921665743</v>
      </c>
      <c r="H119" s="14">
        <f>Tabelle1[[#This Row],[Zahlung gesamt]]-Tabelle1[[#This Row],[Zinsleistung]]</f>
        <v>373.35338373497467</v>
      </c>
      <c r="I119" s="14">
        <f>IF(AnzahlZahlungen&lt;&gt;"",Tabelle1[[#This Row],[Startsaldo]]*Zinssatz/12,"")</f>
        <v>286.60235548168276</v>
      </c>
      <c r="J119" s="13">
        <f>IF(AnzahlZahlungen&lt;&gt;0,Tabelle1[[#This Row],[Startsaldo]]-Tabelle1[[#This Row],[Zahlung gesamt]],"")</f>
        <v>68124.6095763872</v>
      </c>
      <c r="K119" s="14">
        <f>K118+Tabelle1[[#This Row],[Zinsleistung]]</f>
        <v>37046.608810401238</v>
      </c>
    </row>
    <row r="120" spans="2:11" x14ac:dyDescent="0.25">
      <c r="B120" s="11">
        <f t="shared" si="3"/>
        <v>105</v>
      </c>
      <c r="C120" s="12">
        <f>IF((Startdatum),EOMONTH(C119,1))</f>
        <v>46446</v>
      </c>
      <c r="D120" s="13">
        <f t="shared" si="2"/>
        <v>68411.211931868893</v>
      </c>
      <c r="E120" s="14">
        <f>IF(AnzahlZahlungen&lt;&gt;"",IF(Tabelle1[[#This Row],[Startsaldo]]&lt;Rate,Tabelle1[[#This Row],[Startsaldo]],Rate),"")</f>
        <v>659.95573921665743</v>
      </c>
      <c r="F120" s="19"/>
      <c r="G120" s="13">
        <f>Tabelle1[[#This Row],[Planmässige Zahlung ]]+Tabelle1[[#This Row],[Sonderzahlung]]</f>
        <v>659.95573921665743</v>
      </c>
      <c r="H120" s="14">
        <f>Tabelle1[[#This Row],[Zahlung gesamt]]-Tabelle1[[#This Row],[Zinsleistung]]</f>
        <v>374.90902283387038</v>
      </c>
      <c r="I120" s="14">
        <f>IF(AnzahlZahlungen&lt;&gt;"",Tabelle1[[#This Row],[Startsaldo]]*Zinssatz/12,"")</f>
        <v>285.04671638278705</v>
      </c>
      <c r="J120" s="13">
        <f>IF(AnzahlZahlungen&lt;&gt;0,Tabelle1[[#This Row],[Startsaldo]]-Tabelle1[[#This Row],[Zahlung gesamt]],"")</f>
        <v>67751.256192652232</v>
      </c>
      <c r="K120" s="14">
        <f>K119+Tabelle1[[#This Row],[Zinsleistung]]</f>
        <v>37331.655526784023</v>
      </c>
    </row>
    <row r="121" spans="2:11" x14ac:dyDescent="0.25">
      <c r="B121" s="11">
        <f t="shared" si="3"/>
        <v>106</v>
      </c>
      <c r="C121" s="12">
        <f>IF((Startdatum),EOMONTH(C120,1))</f>
        <v>46477</v>
      </c>
      <c r="D121" s="13">
        <f t="shared" si="2"/>
        <v>68036.302909035017</v>
      </c>
      <c r="E121" s="14">
        <f>IF(AnzahlZahlungen&lt;&gt;"",IF(Tabelle1[[#This Row],[Startsaldo]]&lt;Rate,Tabelle1[[#This Row],[Startsaldo]],Rate),"")</f>
        <v>659.95573921665743</v>
      </c>
      <c r="F121" s="19"/>
      <c r="G121" s="13">
        <f>Tabelle1[[#This Row],[Planmässige Zahlung ]]+Tabelle1[[#This Row],[Sonderzahlung]]</f>
        <v>659.95573921665743</v>
      </c>
      <c r="H121" s="14">
        <f>Tabelle1[[#This Row],[Zahlung gesamt]]-Tabelle1[[#This Row],[Zinsleistung]]</f>
        <v>376.47114376234487</v>
      </c>
      <c r="I121" s="14">
        <f>IF(AnzahlZahlungen&lt;&gt;"",Tabelle1[[#This Row],[Startsaldo]]*Zinssatz/12,"")</f>
        <v>283.48459545431257</v>
      </c>
      <c r="J121" s="13">
        <f>IF(AnzahlZahlungen&lt;&gt;0,Tabelle1[[#This Row],[Startsaldo]]-Tabelle1[[#This Row],[Zahlung gesamt]],"")</f>
        <v>67376.347169818357</v>
      </c>
      <c r="K121" s="14">
        <f>K120+Tabelle1[[#This Row],[Zinsleistung]]</f>
        <v>37615.140122238336</v>
      </c>
    </row>
    <row r="122" spans="2:11" x14ac:dyDescent="0.25">
      <c r="B122" s="11">
        <f t="shared" si="3"/>
        <v>107</v>
      </c>
      <c r="C122" s="12">
        <f>IF((Startdatum),EOMONTH(C121,1))</f>
        <v>46507</v>
      </c>
      <c r="D122" s="13">
        <f t="shared" si="2"/>
        <v>67659.831765272669</v>
      </c>
      <c r="E122" s="14">
        <f>IF(AnzahlZahlungen&lt;&gt;"",IF(Tabelle1[[#This Row],[Startsaldo]]&lt;Rate,Tabelle1[[#This Row],[Startsaldo]],Rate),"")</f>
        <v>659.95573921665743</v>
      </c>
      <c r="F122" s="19"/>
      <c r="G122" s="13">
        <f>Tabelle1[[#This Row],[Planmässige Zahlung ]]+Tabelle1[[#This Row],[Sonderzahlung]]</f>
        <v>659.95573921665743</v>
      </c>
      <c r="H122" s="14">
        <f>Tabelle1[[#This Row],[Zahlung gesamt]]-Tabelle1[[#This Row],[Zinsleistung]]</f>
        <v>378.03977352802127</v>
      </c>
      <c r="I122" s="14">
        <f>IF(AnzahlZahlungen&lt;&gt;"",Tabelle1[[#This Row],[Startsaldo]]*Zinssatz/12,"")</f>
        <v>281.91596568863616</v>
      </c>
      <c r="J122" s="13">
        <f>IF(AnzahlZahlungen&lt;&gt;0,Tabelle1[[#This Row],[Startsaldo]]-Tabelle1[[#This Row],[Zahlung gesamt]],"")</f>
        <v>66999.876026056008</v>
      </c>
      <c r="K122" s="14">
        <f>K121+Tabelle1[[#This Row],[Zinsleistung]]</f>
        <v>37897.056087926969</v>
      </c>
    </row>
    <row r="123" spans="2:11" x14ac:dyDescent="0.25">
      <c r="B123" s="11">
        <f t="shared" si="3"/>
        <v>108</v>
      </c>
      <c r="C123" s="12">
        <f>IF((Startdatum),EOMONTH(C122,1))</f>
        <v>46538</v>
      </c>
      <c r="D123" s="13">
        <f t="shared" si="2"/>
        <v>67281.791991744642</v>
      </c>
      <c r="E123" s="14">
        <f>IF(AnzahlZahlungen&lt;&gt;"",IF(Tabelle1[[#This Row],[Startsaldo]]&lt;Rate,Tabelle1[[#This Row],[Startsaldo]],Rate),"")</f>
        <v>659.95573921665743</v>
      </c>
      <c r="F123" s="19"/>
      <c r="G123" s="13">
        <f>Tabelle1[[#This Row],[Planmässige Zahlung ]]+Tabelle1[[#This Row],[Sonderzahlung]]</f>
        <v>659.95573921665743</v>
      </c>
      <c r="H123" s="14">
        <f>Tabelle1[[#This Row],[Zahlung gesamt]]-Tabelle1[[#This Row],[Zinsleistung]]</f>
        <v>379.61493925105475</v>
      </c>
      <c r="I123" s="14">
        <f>IF(AnzahlZahlungen&lt;&gt;"",Tabelle1[[#This Row],[Startsaldo]]*Zinssatz/12,"")</f>
        <v>280.34079996560268</v>
      </c>
      <c r="J123" s="13">
        <f>IF(AnzahlZahlungen&lt;&gt;0,Tabelle1[[#This Row],[Startsaldo]]-Tabelle1[[#This Row],[Zahlung gesamt]],"")</f>
        <v>66621.836252527981</v>
      </c>
      <c r="K123" s="14">
        <f>K122+Tabelle1[[#This Row],[Zinsleistung]]</f>
        <v>38177.396887892573</v>
      </c>
    </row>
    <row r="124" spans="2:11" x14ac:dyDescent="0.25">
      <c r="B124" s="11">
        <f t="shared" si="3"/>
        <v>109</v>
      </c>
      <c r="C124" s="12">
        <f>IF((Startdatum),EOMONTH(C123,1))</f>
        <v>46568</v>
      </c>
      <c r="D124" s="13">
        <f t="shared" si="2"/>
        <v>66902.177052493586</v>
      </c>
      <c r="E124" s="14">
        <f>IF(AnzahlZahlungen&lt;&gt;"",IF(Tabelle1[[#This Row],[Startsaldo]]&lt;Rate,Tabelle1[[#This Row],[Startsaldo]],Rate),"")</f>
        <v>659.95573921665743</v>
      </c>
      <c r="F124" s="19"/>
      <c r="G124" s="13">
        <f>Tabelle1[[#This Row],[Planmässige Zahlung ]]+Tabelle1[[#This Row],[Sonderzahlung]]</f>
        <v>659.95573921665743</v>
      </c>
      <c r="H124" s="14">
        <f>Tabelle1[[#This Row],[Zahlung gesamt]]-Tabelle1[[#This Row],[Zinsleistung]]</f>
        <v>381.19666816460079</v>
      </c>
      <c r="I124" s="14">
        <f>IF(AnzahlZahlungen&lt;&gt;"",Tabelle1[[#This Row],[Startsaldo]]*Zinssatz/12,"")</f>
        <v>278.75907105205664</v>
      </c>
      <c r="J124" s="13">
        <f>IF(AnzahlZahlungen&lt;&gt;0,Tabelle1[[#This Row],[Startsaldo]]-Tabelle1[[#This Row],[Zahlung gesamt]],"")</f>
        <v>66242.221313276925</v>
      </c>
      <c r="K124" s="14">
        <f>K123+Tabelle1[[#This Row],[Zinsleistung]]</f>
        <v>38456.155958944633</v>
      </c>
    </row>
    <row r="125" spans="2:11" x14ac:dyDescent="0.25">
      <c r="B125" s="11">
        <f t="shared" si="3"/>
        <v>110</v>
      </c>
      <c r="C125" s="12">
        <f>IF((Startdatum),EOMONTH(C124,1))</f>
        <v>46599</v>
      </c>
      <c r="D125" s="13">
        <f t="shared" si="2"/>
        <v>66520.980384328985</v>
      </c>
      <c r="E125" s="14">
        <f>IF(AnzahlZahlungen&lt;&gt;"",IF(Tabelle1[[#This Row],[Startsaldo]]&lt;Rate,Tabelle1[[#This Row],[Startsaldo]],Rate),"")</f>
        <v>659.95573921665743</v>
      </c>
      <c r="F125" s="19"/>
      <c r="G125" s="13">
        <f>Tabelle1[[#This Row],[Planmässige Zahlung ]]+Tabelle1[[#This Row],[Sonderzahlung]]</f>
        <v>659.95573921665743</v>
      </c>
      <c r="H125" s="14">
        <f>Tabelle1[[#This Row],[Zahlung gesamt]]-Tabelle1[[#This Row],[Zinsleistung]]</f>
        <v>382.78498761528664</v>
      </c>
      <c r="I125" s="14">
        <f>IF(AnzahlZahlungen&lt;&gt;"",Tabelle1[[#This Row],[Startsaldo]]*Zinssatz/12,"")</f>
        <v>277.1707516013708</v>
      </c>
      <c r="J125" s="13">
        <f>IF(AnzahlZahlungen&lt;&gt;0,Tabelle1[[#This Row],[Startsaldo]]-Tabelle1[[#This Row],[Zahlung gesamt]],"")</f>
        <v>65861.024645112324</v>
      </c>
      <c r="K125" s="14">
        <f>K124+Tabelle1[[#This Row],[Zinsleistung]]</f>
        <v>38733.326710546004</v>
      </c>
    </row>
    <row r="126" spans="2:11" x14ac:dyDescent="0.25">
      <c r="B126" s="11">
        <f t="shared" si="3"/>
        <v>111</v>
      </c>
      <c r="C126" s="12">
        <f>IF((Startdatum),EOMONTH(C125,1))</f>
        <v>46630</v>
      </c>
      <c r="D126" s="13">
        <f t="shared" si="2"/>
        <v>66138.195396713694</v>
      </c>
      <c r="E126" s="14">
        <f>IF(AnzahlZahlungen&lt;&gt;"",IF(Tabelle1[[#This Row],[Startsaldo]]&lt;Rate,Tabelle1[[#This Row],[Startsaldo]],Rate),"")</f>
        <v>659.95573921665743</v>
      </c>
      <c r="F126" s="19"/>
      <c r="G126" s="13">
        <f>Tabelle1[[#This Row],[Planmässige Zahlung ]]+Tabelle1[[#This Row],[Sonderzahlung]]</f>
        <v>659.95573921665743</v>
      </c>
      <c r="H126" s="14">
        <f>Tabelle1[[#This Row],[Zahlung gesamt]]-Tabelle1[[#This Row],[Zinsleistung]]</f>
        <v>384.37992506368369</v>
      </c>
      <c r="I126" s="14">
        <f>IF(AnzahlZahlungen&lt;&gt;"",Tabelle1[[#This Row],[Startsaldo]]*Zinssatz/12,"")</f>
        <v>275.57581415297375</v>
      </c>
      <c r="J126" s="13">
        <f>IF(AnzahlZahlungen&lt;&gt;0,Tabelle1[[#This Row],[Startsaldo]]-Tabelle1[[#This Row],[Zahlung gesamt]],"")</f>
        <v>65478.239657497033</v>
      </c>
      <c r="K126" s="14">
        <f>K125+Tabelle1[[#This Row],[Zinsleistung]]</f>
        <v>39008.902524698977</v>
      </c>
    </row>
    <row r="127" spans="2:11" x14ac:dyDescent="0.25">
      <c r="B127" s="11">
        <f t="shared" si="3"/>
        <v>112</v>
      </c>
      <c r="C127" s="12">
        <f>IF((Startdatum),EOMONTH(C126,1))</f>
        <v>46660</v>
      </c>
      <c r="D127" s="13">
        <f t="shared" si="2"/>
        <v>65753.815471650014</v>
      </c>
      <c r="E127" s="14">
        <f>IF(AnzahlZahlungen&lt;&gt;"",IF(Tabelle1[[#This Row],[Startsaldo]]&lt;Rate,Tabelle1[[#This Row],[Startsaldo]],Rate),"")</f>
        <v>659.95573921665743</v>
      </c>
      <c r="F127" s="19"/>
      <c r="G127" s="13">
        <f>Tabelle1[[#This Row],[Planmässige Zahlung ]]+Tabelle1[[#This Row],[Sonderzahlung]]</f>
        <v>659.95573921665743</v>
      </c>
      <c r="H127" s="14">
        <f>Tabelle1[[#This Row],[Zahlung gesamt]]-Tabelle1[[#This Row],[Zinsleistung]]</f>
        <v>385.98150808478238</v>
      </c>
      <c r="I127" s="14">
        <f>IF(AnzahlZahlungen&lt;&gt;"",Tabelle1[[#This Row],[Startsaldo]]*Zinssatz/12,"")</f>
        <v>273.97423113187506</v>
      </c>
      <c r="J127" s="13">
        <f>IF(AnzahlZahlungen&lt;&gt;0,Tabelle1[[#This Row],[Startsaldo]]-Tabelle1[[#This Row],[Zahlung gesamt]],"")</f>
        <v>65093.859732433353</v>
      </c>
      <c r="K127" s="14">
        <f>K126+Tabelle1[[#This Row],[Zinsleistung]]</f>
        <v>39282.876755830854</v>
      </c>
    </row>
    <row r="128" spans="2:11" x14ac:dyDescent="0.25">
      <c r="B128" s="11">
        <f t="shared" si="3"/>
        <v>113</v>
      </c>
      <c r="C128" s="12">
        <f>IF((Startdatum),EOMONTH(C127,1))</f>
        <v>46691</v>
      </c>
      <c r="D128" s="13">
        <f t="shared" si="2"/>
        <v>65367.83396356523</v>
      </c>
      <c r="E128" s="14">
        <f>IF(AnzahlZahlungen&lt;&gt;"",IF(Tabelle1[[#This Row],[Startsaldo]]&lt;Rate,Tabelle1[[#This Row],[Startsaldo]],Rate),"")</f>
        <v>659.95573921665743</v>
      </c>
      <c r="F128" s="19"/>
      <c r="G128" s="13">
        <f>Tabelle1[[#This Row],[Planmässige Zahlung ]]+Tabelle1[[#This Row],[Sonderzahlung]]</f>
        <v>659.95573921665743</v>
      </c>
      <c r="H128" s="14">
        <f>Tabelle1[[#This Row],[Zahlung gesamt]]-Tabelle1[[#This Row],[Zinsleistung]]</f>
        <v>387.58976436846893</v>
      </c>
      <c r="I128" s="14">
        <f>IF(AnzahlZahlungen&lt;&gt;"",Tabelle1[[#This Row],[Startsaldo]]*Zinssatz/12,"")</f>
        <v>272.3659748481885</v>
      </c>
      <c r="J128" s="13">
        <f>IF(AnzahlZahlungen&lt;&gt;0,Tabelle1[[#This Row],[Startsaldo]]-Tabelle1[[#This Row],[Zahlung gesamt]],"")</f>
        <v>64707.878224348569</v>
      </c>
      <c r="K128" s="14">
        <f>K127+Tabelle1[[#This Row],[Zinsleistung]]</f>
        <v>39555.242730679041</v>
      </c>
    </row>
    <row r="129" spans="2:11" x14ac:dyDescent="0.25">
      <c r="B129" s="11">
        <f t="shared" si="3"/>
        <v>114</v>
      </c>
      <c r="C129" s="12">
        <f>IF((Startdatum),EOMONTH(C128,1))</f>
        <v>46721</v>
      </c>
      <c r="D129" s="13">
        <f t="shared" si="2"/>
        <v>64980.244199196764</v>
      </c>
      <c r="E129" s="14">
        <f>IF(AnzahlZahlungen&lt;&gt;"",IF(Tabelle1[[#This Row],[Startsaldo]]&lt;Rate,Tabelle1[[#This Row],[Startsaldo]],Rate),"")</f>
        <v>659.95573921665743</v>
      </c>
      <c r="F129" s="19"/>
      <c r="G129" s="13">
        <f>Tabelle1[[#This Row],[Planmässige Zahlung ]]+Tabelle1[[#This Row],[Sonderzahlung]]</f>
        <v>659.95573921665743</v>
      </c>
      <c r="H129" s="14">
        <f>Tabelle1[[#This Row],[Zahlung gesamt]]-Tabelle1[[#This Row],[Zinsleistung]]</f>
        <v>389.20472172000422</v>
      </c>
      <c r="I129" s="14">
        <f>IF(AnzahlZahlungen&lt;&gt;"",Tabelle1[[#This Row],[Startsaldo]]*Zinssatz/12,"")</f>
        <v>270.75101749665322</v>
      </c>
      <c r="J129" s="13">
        <f>IF(AnzahlZahlungen&lt;&gt;0,Tabelle1[[#This Row],[Startsaldo]]-Tabelle1[[#This Row],[Zahlung gesamt]],"")</f>
        <v>64320.288459980104</v>
      </c>
      <c r="K129" s="14">
        <f>K128+Tabelle1[[#This Row],[Zinsleistung]]</f>
        <v>39825.993748175693</v>
      </c>
    </row>
    <row r="130" spans="2:11" x14ac:dyDescent="0.25">
      <c r="B130" s="11">
        <f t="shared" si="3"/>
        <v>115</v>
      </c>
      <c r="C130" s="12">
        <f>IF((Startdatum),EOMONTH(C129,1))</f>
        <v>46752</v>
      </c>
      <c r="D130" s="13">
        <f t="shared" si="2"/>
        <v>64591.039477476763</v>
      </c>
      <c r="E130" s="14">
        <f>IF(AnzahlZahlungen&lt;&gt;"",IF(Tabelle1[[#This Row],[Startsaldo]]&lt;Rate,Tabelle1[[#This Row],[Startsaldo]],Rate),"")</f>
        <v>659.95573921665743</v>
      </c>
      <c r="F130" s="19"/>
      <c r="G130" s="13">
        <f>Tabelle1[[#This Row],[Planmässige Zahlung ]]+Tabelle1[[#This Row],[Sonderzahlung]]</f>
        <v>659.95573921665743</v>
      </c>
      <c r="H130" s="14">
        <f>Tabelle1[[#This Row],[Zahlung gesamt]]-Tabelle1[[#This Row],[Zinsleistung]]</f>
        <v>390.82640806050421</v>
      </c>
      <c r="I130" s="14">
        <f>IF(AnzahlZahlungen&lt;&gt;"",Tabelle1[[#This Row],[Startsaldo]]*Zinssatz/12,"")</f>
        <v>269.12933115615323</v>
      </c>
      <c r="J130" s="13">
        <f>IF(AnzahlZahlungen&lt;&gt;0,Tabelle1[[#This Row],[Startsaldo]]-Tabelle1[[#This Row],[Zahlung gesamt]],"")</f>
        <v>63931.083738260102</v>
      </c>
      <c r="K130" s="14">
        <f>K129+Tabelle1[[#This Row],[Zinsleistung]]</f>
        <v>40095.123079331846</v>
      </c>
    </row>
    <row r="131" spans="2:11" x14ac:dyDescent="0.25">
      <c r="B131" s="11">
        <f t="shared" si="3"/>
        <v>116</v>
      </c>
      <c r="C131" s="12">
        <f>IF((Startdatum),EOMONTH(C130,1))</f>
        <v>46783</v>
      </c>
      <c r="D131" s="13">
        <f t="shared" si="2"/>
        <v>64200.213069416255</v>
      </c>
      <c r="E131" s="14">
        <f>IF(AnzahlZahlungen&lt;&gt;"",IF(Tabelle1[[#This Row],[Startsaldo]]&lt;Rate,Tabelle1[[#This Row],[Startsaldo]],Rate),"")</f>
        <v>659.95573921665743</v>
      </c>
      <c r="F131" s="19"/>
      <c r="G131" s="13">
        <f>Tabelle1[[#This Row],[Planmässige Zahlung ]]+Tabelle1[[#This Row],[Sonderzahlung]]</f>
        <v>659.95573921665743</v>
      </c>
      <c r="H131" s="14">
        <f>Tabelle1[[#This Row],[Zahlung gesamt]]-Tabelle1[[#This Row],[Zinsleistung]]</f>
        <v>392.45485142742302</v>
      </c>
      <c r="I131" s="14">
        <f>IF(AnzahlZahlungen&lt;&gt;"",Tabelle1[[#This Row],[Startsaldo]]*Zinssatz/12,"")</f>
        <v>267.50088778923441</v>
      </c>
      <c r="J131" s="13">
        <f>IF(AnzahlZahlungen&lt;&gt;0,Tabelle1[[#This Row],[Startsaldo]]-Tabelle1[[#This Row],[Zahlung gesamt]],"")</f>
        <v>63540.257330199594</v>
      </c>
      <c r="K131" s="14">
        <f>K130+Tabelle1[[#This Row],[Zinsleistung]]</f>
        <v>40362.623967121079</v>
      </c>
    </row>
    <row r="132" spans="2:11" x14ac:dyDescent="0.25">
      <c r="B132" s="11">
        <f t="shared" si="3"/>
        <v>117</v>
      </c>
      <c r="C132" s="12">
        <f>IF((Startdatum),EOMONTH(C131,1))</f>
        <v>46812</v>
      </c>
      <c r="D132" s="13">
        <f t="shared" si="2"/>
        <v>63807.758217988834</v>
      </c>
      <c r="E132" s="14">
        <f>IF(AnzahlZahlungen&lt;&gt;"",IF(Tabelle1[[#This Row],[Startsaldo]]&lt;Rate,Tabelle1[[#This Row],[Startsaldo]],Rate),"")</f>
        <v>659.95573921665743</v>
      </c>
      <c r="F132" s="19"/>
      <c r="G132" s="13">
        <f>Tabelle1[[#This Row],[Planmässige Zahlung ]]+Tabelle1[[#This Row],[Sonderzahlung]]</f>
        <v>659.95573921665743</v>
      </c>
      <c r="H132" s="14">
        <f>Tabelle1[[#This Row],[Zahlung gesamt]]-Tabelle1[[#This Row],[Zinsleistung]]</f>
        <v>394.09007997503727</v>
      </c>
      <c r="I132" s="14">
        <f>IF(AnzahlZahlungen&lt;&gt;"",Tabelle1[[#This Row],[Startsaldo]]*Zinssatz/12,"")</f>
        <v>265.86565924162016</v>
      </c>
      <c r="J132" s="13">
        <f>IF(AnzahlZahlungen&lt;&gt;0,Tabelle1[[#This Row],[Startsaldo]]-Tabelle1[[#This Row],[Zahlung gesamt]],"")</f>
        <v>63147.802478772173</v>
      </c>
      <c r="K132" s="14">
        <f>K131+Tabelle1[[#This Row],[Zinsleistung]]</f>
        <v>40628.489626362702</v>
      </c>
    </row>
    <row r="133" spans="2:11" x14ac:dyDescent="0.25">
      <c r="B133" s="11">
        <f t="shared" si="3"/>
        <v>118</v>
      </c>
      <c r="C133" s="12">
        <f>IF((Startdatum),EOMONTH(C132,1))</f>
        <v>46843</v>
      </c>
      <c r="D133" s="13">
        <f t="shared" si="2"/>
        <v>63413.668138013796</v>
      </c>
      <c r="E133" s="14">
        <f>IF(AnzahlZahlungen&lt;&gt;"",IF(Tabelle1[[#This Row],[Startsaldo]]&lt;Rate,Tabelle1[[#This Row],[Startsaldo]],Rate),"")</f>
        <v>659.95573921665743</v>
      </c>
      <c r="F133" s="19"/>
      <c r="G133" s="13">
        <f>Tabelle1[[#This Row],[Planmässige Zahlung ]]+Tabelle1[[#This Row],[Sonderzahlung]]</f>
        <v>659.95573921665743</v>
      </c>
      <c r="H133" s="14">
        <f>Tabelle1[[#This Row],[Zahlung gesamt]]-Tabelle1[[#This Row],[Zinsleistung]]</f>
        <v>395.73212197493325</v>
      </c>
      <c r="I133" s="14">
        <f>IF(AnzahlZahlungen&lt;&gt;"",Tabelle1[[#This Row],[Startsaldo]]*Zinssatz/12,"")</f>
        <v>264.22361724172418</v>
      </c>
      <c r="J133" s="13">
        <f>IF(AnzahlZahlungen&lt;&gt;0,Tabelle1[[#This Row],[Startsaldo]]-Tabelle1[[#This Row],[Zahlung gesamt]],"")</f>
        <v>62753.712398797135</v>
      </c>
      <c r="K133" s="14">
        <f>K132+Tabelle1[[#This Row],[Zinsleistung]]</f>
        <v>40892.713243604427</v>
      </c>
    </row>
    <row r="134" spans="2:11" x14ac:dyDescent="0.25">
      <c r="B134" s="11">
        <f t="shared" si="3"/>
        <v>119</v>
      </c>
      <c r="C134" s="12">
        <f>IF((Startdatum),EOMONTH(C133,1))</f>
        <v>46873</v>
      </c>
      <c r="D134" s="13">
        <f t="shared" si="2"/>
        <v>63017.936016038861</v>
      </c>
      <c r="E134" s="14">
        <f>IF(AnzahlZahlungen&lt;&gt;"",IF(Tabelle1[[#This Row],[Startsaldo]]&lt;Rate,Tabelle1[[#This Row],[Startsaldo]],Rate),"")</f>
        <v>659.95573921665743</v>
      </c>
      <c r="F134" s="19"/>
      <c r="G134" s="13">
        <f>Tabelle1[[#This Row],[Planmässige Zahlung ]]+Tabelle1[[#This Row],[Sonderzahlung]]</f>
        <v>659.95573921665743</v>
      </c>
      <c r="H134" s="14">
        <f>Tabelle1[[#This Row],[Zahlung gesamt]]-Tabelle1[[#This Row],[Zinsleistung]]</f>
        <v>397.38100581649547</v>
      </c>
      <c r="I134" s="14">
        <f>IF(AnzahlZahlungen&lt;&gt;"",Tabelle1[[#This Row],[Startsaldo]]*Zinssatz/12,"")</f>
        <v>262.57473340016196</v>
      </c>
      <c r="J134" s="13">
        <f>IF(AnzahlZahlungen&lt;&gt;0,Tabelle1[[#This Row],[Startsaldo]]-Tabelle1[[#This Row],[Zahlung gesamt]],"")</f>
        <v>62357.9802768222</v>
      </c>
      <c r="K134" s="14">
        <f>K133+Tabelle1[[#This Row],[Zinsleistung]]</f>
        <v>41155.287977004591</v>
      </c>
    </row>
    <row r="135" spans="2:11" x14ac:dyDescent="0.25">
      <c r="B135" s="11">
        <f t="shared" si="3"/>
        <v>120</v>
      </c>
      <c r="C135" s="12">
        <f>IF((Startdatum),EOMONTH(C134,1))</f>
        <v>46904</v>
      </c>
      <c r="D135" s="13">
        <f t="shared" si="2"/>
        <v>62620.555010222364</v>
      </c>
      <c r="E135" s="14">
        <f>IF(AnzahlZahlungen&lt;&gt;"",IF(Tabelle1[[#This Row],[Startsaldo]]&lt;Rate,Tabelle1[[#This Row],[Startsaldo]],Rate),"")</f>
        <v>659.95573921665743</v>
      </c>
      <c r="F135" s="19"/>
      <c r="G135" s="13">
        <f>Tabelle1[[#This Row],[Planmässige Zahlung ]]+Tabelle1[[#This Row],[Sonderzahlung]]</f>
        <v>659.95573921665743</v>
      </c>
      <c r="H135" s="14">
        <f>Tabelle1[[#This Row],[Zahlung gesamt]]-Tabelle1[[#This Row],[Zinsleistung]]</f>
        <v>399.03676000739756</v>
      </c>
      <c r="I135" s="14">
        <f>IF(AnzahlZahlungen&lt;&gt;"",Tabelle1[[#This Row],[Startsaldo]]*Zinssatz/12,"")</f>
        <v>260.91897920925987</v>
      </c>
      <c r="J135" s="13">
        <f>IF(AnzahlZahlungen&lt;&gt;0,Tabelle1[[#This Row],[Startsaldo]]-Tabelle1[[#This Row],[Zahlung gesamt]],"")</f>
        <v>61960.599271005703</v>
      </c>
      <c r="K135" s="14">
        <f>K134+Tabelle1[[#This Row],[Zinsleistung]]</f>
        <v>41416.206956213849</v>
      </c>
    </row>
    <row r="136" spans="2:11" x14ac:dyDescent="0.25">
      <c r="B136" s="11">
        <f t="shared" si="3"/>
        <v>121</v>
      </c>
      <c r="C136" s="12">
        <f>IF((Startdatum),EOMONTH(C135,1))</f>
        <v>46934</v>
      </c>
      <c r="D136" s="13">
        <f t="shared" si="2"/>
        <v>62221.518250214969</v>
      </c>
      <c r="E136" s="14">
        <f>IF(AnzahlZahlungen&lt;&gt;"",IF(Tabelle1[[#This Row],[Startsaldo]]&lt;Rate,Tabelle1[[#This Row],[Startsaldo]],Rate),"")</f>
        <v>659.95573921665743</v>
      </c>
      <c r="F136" s="19"/>
      <c r="G136" s="13">
        <f>Tabelle1[[#This Row],[Planmässige Zahlung ]]+Tabelle1[[#This Row],[Sonderzahlung]]</f>
        <v>659.95573921665743</v>
      </c>
      <c r="H136" s="14">
        <f>Tabelle1[[#This Row],[Zahlung gesamt]]-Tabelle1[[#This Row],[Zinsleistung]]</f>
        <v>400.69941317409501</v>
      </c>
      <c r="I136" s="14">
        <f>IF(AnzahlZahlungen&lt;&gt;"",Tabelle1[[#This Row],[Startsaldo]]*Zinssatz/12,"")</f>
        <v>259.25632604256242</v>
      </c>
      <c r="J136" s="13">
        <f>IF(AnzahlZahlungen&lt;&gt;0,Tabelle1[[#This Row],[Startsaldo]]-Tabelle1[[#This Row],[Zahlung gesamt]],"")</f>
        <v>61561.562510998308</v>
      </c>
      <c r="K136" s="14">
        <f>K135+Tabelle1[[#This Row],[Zinsleistung]]</f>
        <v>41675.463282256409</v>
      </c>
    </row>
    <row r="137" spans="2:11" x14ac:dyDescent="0.25">
      <c r="B137" s="11">
        <f t="shared" si="3"/>
        <v>122</v>
      </c>
      <c r="C137" s="12">
        <f>IF((Startdatum),EOMONTH(C136,1))</f>
        <v>46965</v>
      </c>
      <c r="D137" s="13">
        <f t="shared" si="2"/>
        <v>61820.818837040875</v>
      </c>
      <c r="E137" s="14">
        <f>IF(AnzahlZahlungen&lt;&gt;"",IF(Tabelle1[[#This Row],[Startsaldo]]&lt;Rate,Tabelle1[[#This Row],[Startsaldo]],Rate),"")</f>
        <v>659.95573921665743</v>
      </c>
      <c r="F137" s="19"/>
      <c r="G137" s="13">
        <f>Tabelle1[[#This Row],[Planmässige Zahlung ]]+Tabelle1[[#This Row],[Sonderzahlung]]</f>
        <v>659.95573921665743</v>
      </c>
      <c r="H137" s="14">
        <f>Tabelle1[[#This Row],[Zahlung gesamt]]-Tabelle1[[#This Row],[Zinsleistung]]</f>
        <v>402.36899406232044</v>
      </c>
      <c r="I137" s="14">
        <f>IF(AnzahlZahlungen&lt;&gt;"",Tabelle1[[#This Row],[Startsaldo]]*Zinssatz/12,"")</f>
        <v>257.586745154337</v>
      </c>
      <c r="J137" s="13">
        <f>IF(AnzahlZahlungen&lt;&gt;0,Tabelle1[[#This Row],[Startsaldo]]-Tabelle1[[#This Row],[Zahlung gesamt]],"")</f>
        <v>61160.863097824214</v>
      </c>
      <c r="K137" s="14">
        <f>K136+Tabelle1[[#This Row],[Zinsleistung]]</f>
        <v>41933.050027410747</v>
      </c>
    </row>
    <row r="138" spans="2:11" x14ac:dyDescent="0.25">
      <c r="B138" s="11">
        <f t="shared" si="3"/>
        <v>123</v>
      </c>
      <c r="C138" s="12">
        <f>IF((Startdatum),EOMONTH(C137,1))</f>
        <v>46996</v>
      </c>
      <c r="D138" s="13">
        <f t="shared" si="2"/>
        <v>61418.449842978553</v>
      </c>
      <c r="E138" s="14">
        <f>IF(AnzahlZahlungen&lt;&gt;"",IF(Tabelle1[[#This Row],[Startsaldo]]&lt;Rate,Tabelle1[[#This Row],[Startsaldo]],Rate),"")</f>
        <v>659.95573921665743</v>
      </c>
      <c r="F138" s="19"/>
      <c r="G138" s="13">
        <f>Tabelle1[[#This Row],[Planmässige Zahlung ]]+Tabelle1[[#This Row],[Sonderzahlung]]</f>
        <v>659.95573921665743</v>
      </c>
      <c r="H138" s="14">
        <f>Tabelle1[[#This Row],[Zahlung gesamt]]-Tabelle1[[#This Row],[Zinsleistung]]</f>
        <v>404.04553153758013</v>
      </c>
      <c r="I138" s="14">
        <f>IF(AnzahlZahlungen&lt;&gt;"",Tabelle1[[#This Row],[Startsaldo]]*Zinssatz/12,"")</f>
        <v>255.9102076790773</v>
      </c>
      <c r="J138" s="13">
        <f>IF(AnzahlZahlungen&lt;&gt;0,Tabelle1[[#This Row],[Startsaldo]]-Tabelle1[[#This Row],[Zahlung gesamt]],"")</f>
        <v>60758.494103761892</v>
      </c>
      <c r="K138" s="14">
        <f>K137+Tabelle1[[#This Row],[Zinsleistung]]</f>
        <v>42188.960235089828</v>
      </c>
    </row>
    <row r="139" spans="2:11" x14ac:dyDescent="0.25">
      <c r="B139" s="11">
        <f t="shared" si="3"/>
        <v>124</v>
      </c>
      <c r="C139" s="12">
        <f>IF((Startdatum),EOMONTH(C138,1))</f>
        <v>47026</v>
      </c>
      <c r="D139" s="13">
        <f t="shared" si="2"/>
        <v>61014.404311440972</v>
      </c>
      <c r="E139" s="14">
        <f>IF(AnzahlZahlungen&lt;&gt;"",IF(Tabelle1[[#This Row],[Startsaldo]]&lt;Rate,Tabelle1[[#This Row],[Startsaldo]],Rate),"")</f>
        <v>659.95573921665743</v>
      </c>
      <c r="F139" s="19"/>
      <c r="G139" s="13">
        <f>Tabelle1[[#This Row],[Planmässige Zahlung ]]+Tabelle1[[#This Row],[Sonderzahlung]]</f>
        <v>659.95573921665743</v>
      </c>
      <c r="H139" s="14">
        <f>Tabelle1[[#This Row],[Zahlung gesamt]]-Tabelle1[[#This Row],[Zinsleistung]]</f>
        <v>405.72905458565333</v>
      </c>
      <c r="I139" s="14">
        <f>IF(AnzahlZahlungen&lt;&gt;"",Tabelle1[[#This Row],[Startsaldo]]*Zinssatz/12,"")</f>
        <v>254.22668463100408</v>
      </c>
      <c r="J139" s="13">
        <f>IF(AnzahlZahlungen&lt;&gt;0,Tabelle1[[#This Row],[Startsaldo]]-Tabelle1[[#This Row],[Zahlung gesamt]],"")</f>
        <v>60354.448572224312</v>
      </c>
      <c r="K139" s="14">
        <f>K138+Tabelle1[[#This Row],[Zinsleistung]]</f>
        <v>42443.186919720829</v>
      </c>
    </row>
    <row r="140" spans="2:11" x14ac:dyDescent="0.25">
      <c r="B140" s="11">
        <f t="shared" si="3"/>
        <v>125</v>
      </c>
      <c r="C140" s="12">
        <f>IF((Startdatum),EOMONTH(C139,1))</f>
        <v>47057</v>
      </c>
      <c r="D140" s="13">
        <f t="shared" si="2"/>
        <v>60608.67525685532</v>
      </c>
      <c r="E140" s="14">
        <f>IF(AnzahlZahlungen&lt;&gt;"",IF(Tabelle1[[#This Row],[Startsaldo]]&lt;Rate,Tabelle1[[#This Row],[Startsaldo]],Rate),"")</f>
        <v>659.95573921665743</v>
      </c>
      <c r="F140" s="19"/>
      <c r="G140" s="13">
        <f>Tabelle1[[#This Row],[Planmässige Zahlung ]]+Tabelle1[[#This Row],[Sonderzahlung]]</f>
        <v>659.95573921665743</v>
      </c>
      <c r="H140" s="14">
        <f>Tabelle1[[#This Row],[Zahlung gesamt]]-Tabelle1[[#This Row],[Zinsleistung]]</f>
        <v>407.41959231309363</v>
      </c>
      <c r="I140" s="14">
        <f>IF(AnzahlZahlungen&lt;&gt;"",Tabelle1[[#This Row],[Startsaldo]]*Zinssatz/12,"")</f>
        <v>252.53614690356383</v>
      </c>
      <c r="J140" s="13">
        <f>IF(AnzahlZahlungen&lt;&gt;0,Tabelle1[[#This Row],[Startsaldo]]-Tabelle1[[#This Row],[Zahlung gesamt]],"")</f>
        <v>59948.719517638659</v>
      </c>
      <c r="K140" s="14">
        <f>K139+Tabelle1[[#This Row],[Zinsleistung]]</f>
        <v>42695.723066624392</v>
      </c>
    </row>
    <row r="141" spans="2:11" x14ac:dyDescent="0.25">
      <c r="B141" s="11">
        <f t="shared" si="3"/>
        <v>126</v>
      </c>
      <c r="C141" s="12">
        <f>IF((Startdatum),EOMONTH(C140,1))</f>
        <v>47087</v>
      </c>
      <c r="D141" s="13">
        <f t="shared" si="2"/>
        <v>60201.25566454223</v>
      </c>
      <c r="E141" s="14">
        <f>IF(AnzahlZahlungen&lt;&gt;"",IF(Tabelle1[[#This Row],[Startsaldo]]&lt;Rate,Tabelle1[[#This Row],[Startsaldo]],Rate),"")</f>
        <v>659.95573921665743</v>
      </c>
      <c r="F141" s="19"/>
      <c r="G141" s="13">
        <f>Tabelle1[[#This Row],[Planmässige Zahlung ]]+Tabelle1[[#This Row],[Sonderzahlung]]</f>
        <v>659.95573921665743</v>
      </c>
      <c r="H141" s="14">
        <f>Tabelle1[[#This Row],[Zahlung gesamt]]-Tabelle1[[#This Row],[Zinsleistung]]</f>
        <v>409.11717394773143</v>
      </c>
      <c r="I141" s="14">
        <f>IF(AnzahlZahlungen&lt;&gt;"",Tabelle1[[#This Row],[Startsaldo]]*Zinssatz/12,"")</f>
        <v>250.83856526892598</v>
      </c>
      <c r="J141" s="13">
        <f>IF(AnzahlZahlungen&lt;&gt;0,Tabelle1[[#This Row],[Startsaldo]]-Tabelle1[[#This Row],[Zahlung gesamt]],"")</f>
        <v>59541.299925325569</v>
      </c>
      <c r="K141" s="14">
        <f>K140+Tabelle1[[#This Row],[Zinsleistung]]</f>
        <v>42946.561631893317</v>
      </c>
    </row>
    <row r="142" spans="2:11" x14ac:dyDescent="0.25">
      <c r="B142" s="11">
        <f t="shared" si="3"/>
        <v>127</v>
      </c>
      <c r="C142" s="12">
        <f>IF((Startdatum),EOMONTH(C141,1))</f>
        <v>47118</v>
      </c>
      <c r="D142" s="13">
        <f t="shared" si="2"/>
        <v>59792.138490594501</v>
      </c>
      <c r="E142" s="14">
        <f>IF(AnzahlZahlungen&lt;&gt;"",IF(Tabelle1[[#This Row],[Startsaldo]]&lt;Rate,Tabelle1[[#This Row],[Startsaldo]],Rate),"")</f>
        <v>659.95573921665743</v>
      </c>
      <c r="F142" s="19"/>
      <c r="G142" s="13">
        <f>Tabelle1[[#This Row],[Planmässige Zahlung ]]+Tabelle1[[#This Row],[Sonderzahlung]]</f>
        <v>659.95573921665743</v>
      </c>
      <c r="H142" s="14">
        <f>Tabelle1[[#This Row],[Zahlung gesamt]]-Tabelle1[[#This Row],[Zinsleistung]]</f>
        <v>410.82182883918028</v>
      </c>
      <c r="I142" s="14">
        <f>IF(AnzahlZahlungen&lt;&gt;"",Tabelle1[[#This Row],[Startsaldo]]*Zinssatz/12,"")</f>
        <v>249.13391037747712</v>
      </c>
      <c r="J142" s="13">
        <f>IF(AnzahlZahlungen&lt;&gt;0,Tabelle1[[#This Row],[Startsaldo]]-Tabelle1[[#This Row],[Zahlung gesamt]],"")</f>
        <v>59132.182751377841</v>
      </c>
      <c r="K142" s="14">
        <f>K141+Tabelle1[[#This Row],[Zinsleistung]]</f>
        <v>43195.695542270791</v>
      </c>
    </row>
    <row r="143" spans="2:11" x14ac:dyDescent="0.25">
      <c r="B143" s="11">
        <f t="shared" si="3"/>
        <v>128</v>
      </c>
      <c r="C143" s="12">
        <f>IF((Startdatum),EOMONTH(C142,1))</f>
        <v>47149</v>
      </c>
      <c r="D143" s="13">
        <f t="shared" si="2"/>
        <v>59381.316661755322</v>
      </c>
      <c r="E143" s="14">
        <f>IF(AnzahlZahlungen&lt;&gt;"",IF(Tabelle1[[#This Row],[Startsaldo]]&lt;Rate,Tabelle1[[#This Row],[Startsaldo]],Rate),"")</f>
        <v>659.95573921665743</v>
      </c>
      <c r="F143" s="19"/>
      <c r="G143" s="13">
        <f>Tabelle1[[#This Row],[Planmässige Zahlung ]]+Tabelle1[[#This Row],[Sonderzahlung]]</f>
        <v>659.95573921665743</v>
      </c>
      <c r="H143" s="14">
        <f>Tabelle1[[#This Row],[Zahlung gesamt]]-Tabelle1[[#This Row],[Zinsleistung]]</f>
        <v>412.53358645934361</v>
      </c>
      <c r="I143" s="14">
        <f>IF(AnzahlZahlungen&lt;&gt;"",Tabelle1[[#This Row],[Startsaldo]]*Zinssatz/12,"")</f>
        <v>247.42215275731385</v>
      </c>
      <c r="J143" s="13">
        <f>IF(AnzahlZahlungen&lt;&gt;0,Tabelle1[[#This Row],[Startsaldo]]-Tabelle1[[#This Row],[Zahlung gesamt]],"")</f>
        <v>58721.360922538661</v>
      </c>
      <c r="K143" s="14">
        <f>K142+Tabelle1[[#This Row],[Zinsleistung]]</f>
        <v>43443.117695028108</v>
      </c>
    </row>
    <row r="144" spans="2:11" x14ac:dyDescent="0.25">
      <c r="B144" s="11">
        <f t="shared" si="3"/>
        <v>129</v>
      </c>
      <c r="C144" s="12">
        <f>IF((Startdatum),EOMONTH(C143,1))</f>
        <v>47177</v>
      </c>
      <c r="D144" s="13">
        <f t="shared" si="2"/>
        <v>58968.783075295978</v>
      </c>
      <c r="E144" s="14">
        <f>IF(AnzahlZahlungen&lt;&gt;"",IF(Tabelle1[[#This Row],[Startsaldo]]&lt;Rate,Tabelle1[[#This Row],[Startsaldo]],Rate),"")</f>
        <v>659.95573921665743</v>
      </c>
      <c r="F144" s="19"/>
      <c r="G144" s="13">
        <f>Tabelle1[[#This Row],[Planmässige Zahlung ]]+Tabelle1[[#This Row],[Sonderzahlung]]</f>
        <v>659.95573921665743</v>
      </c>
      <c r="H144" s="14">
        <f>Tabelle1[[#This Row],[Zahlung gesamt]]-Tabelle1[[#This Row],[Zinsleistung]]</f>
        <v>414.25247640292423</v>
      </c>
      <c r="I144" s="14">
        <f>IF(AnzahlZahlungen&lt;&gt;"",Tabelle1[[#This Row],[Startsaldo]]*Zinssatz/12,"")</f>
        <v>245.70326281373323</v>
      </c>
      <c r="J144" s="13">
        <f>IF(AnzahlZahlungen&lt;&gt;0,Tabelle1[[#This Row],[Startsaldo]]-Tabelle1[[#This Row],[Zahlung gesamt]],"")</f>
        <v>58308.827336079317</v>
      </c>
      <c r="K144" s="14">
        <f>K143+Tabelle1[[#This Row],[Zinsleistung]]</f>
        <v>43688.820957841839</v>
      </c>
    </row>
    <row r="145" spans="2:11" x14ac:dyDescent="0.25">
      <c r="B145" s="11">
        <f t="shared" si="3"/>
        <v>130</v>
      </c>
      <c r="C145" s="12">
        <f>IF((Startdatum),EOMONTH(C144,1))</f>
        <v>47208</v>
      </c>
      <c r="D145" s="13">
        <f t="shared" ref="D145:D208" si="4">IF(D144&lt;=Rate,0,D144-H144)</f>
        <v>58554.530598893056</v>
      </c>
      <c r="E145" s="14">
        <f>IF(AnzahlZahlungen&lt;&gt;"",IF(Tabelle1[[#This Row],[Startsaldo]]&lt;Rate,Tabelle1[[#This Row],[Startsaldo]],Rate),"")</f>
        <v>659.95573921665743</v>
      </c>
      <c r="F145" s="19"/>
      <c r="G145" s="13">
        <f>Tabelle1[[#This Row],[Planmässige Zahlung ]]+Tabelle1[[#This Row],[Sonderzahlung]]</f>
        <v>659.95573921665743</v>
      </c>
      <c r="H145" s="14">
        <f>Tabelle1[[#This Row],[Zahlung gesamt]]-Tabelle1[[#This Row],[Zinsleistung]]</f>
        <v>415.97852838793631</v>
      </c>
      <c r="I145" s="14">
        <f>IF(AnzahlZahlungen&lt;&gt;"",Tabelle1[[#This Row],[Startsaldo]]*Zinssatz/12,"")</f>
        <v>243.9772108287211</v>
      </c>
      <c r="J145" s="13">
        <f>IF(AnzahlZahlungen&lt;&gt;0,Tabelle1[[#This Row],[Startsaldo]]-Tabelle1[[#This Row],[Zahlung gesamt]],"")</f>
        <v>57894.574859676395</v>
      </c>
      <c r="K145" s="14">
        <f>K144+Tabelle1[[#This Row],[Zinsleistung]]</f>
        <v>43932.798168670561</v>
      </c>
    </row>
    <row r="146" spans="2:11" x14ac:dyDescent="0.25">
      <c r="B146" s="11">
        <f t="shared" ref="B146:B209" si="5">B145+1</f>
        <v>131</v>
      </c>
      <c r="C146" s="12">
        <f>IF((Startdatum),EOMONTH(C145,1))</f>
        <v>47238</v>
      </c>
      <c r="D146" s="13">
        <f t="shared" si="4"/>
        <v>58138.552070505117</v>
      </c>
      <c r="E146" s="14">
        <f>IF(AnzahlZahlungen&lt;&gt;"",IF(Tabelle1[[#This Row],[Startsaldo]]&lt;Rate,Tabelle1[[#This Row],[Startsaldo]],Rate),"")</f>
        <v>659.95573921665743</v>
      </c>
      <c r="F146" s="19"/>
      <c r="G146" s="13">
        <f>Tabelle1[[#This Row],[Planmässige Zahlung ]]+Tabelle1[[#This Row],[Sonderzahlung]]</f>
        <v>659.95573921665743</v>
      </c>
      <c r="H146" s="14">
        <f>Tabelle1[[#This Row],[Zahlung gesamt]]-Tabelle1[[#This Row],[Zinsleistung]]</f>
        <v>417.71177225621943</v>
      </c>
      <c r="I146" s="14">
        <f>IF(AnzahlZahlungen&lt;&gt;"",Tabelle1[[#This Row],[Startsaldo]]*Zinssatz/12,"")</f>
        <v>242.243966960438</v>
      </c>
      <c r="J146" s="13">
        <f>IF(AnzahlZahlungen&lt;&gt;0,Tabelle1[[#This Row],[Startsaldo]]-Tabelle1[[#This Row],[Zahlung gesamt]],"")</f>
        <v>57478.596331288456</v>
      </c>
      <c r="K146" s="14">
        <f>K145+Tabelle1[[#This Row],[Zinsleistung]]</f>
        <v>44175.042135630996</v>
      </c>
    </row>
    <row r="147" spans="2:11" x14ac:dyDescent="0.25">
      <c r="B147" s="11">
        <f t="shared" si="5"/>
        <v>132</v>
      </c>
      <c r="C147" s="12">
        <f>IF((Startdatum),EOMONTH(C146,1))</f>
        <v>47269</v>
      </c>
      <c r="D147" s="13">
        <f t="shared" si="4"/>
        <v>57720.840298248899</v>
      </c>
      <c r="E147" s="14">
        <f>IF(AnzahlZahlungen&lt;&gt;"",IF(Tabelle1[[#This Row],[Startsaldo]]&lt;Rate,Tabelle1[[#This Row],[Startsaldo]],Rate),"")</f>
        <v>659.95573921665743</v>
      </c>
      <c r="F147" s="19"/>
      <c r="G147" s="13">
        <f>Tabelle1[[#This Row],[Planmässige Zahlung ]]+Tabelle1[[#This Row],[Sonderzahlung]]</f>
        <v>659.95573921665743</v>
      </c>
      <c r="H147" s="14">
        <f>Tabelle1[[#This Row],[Zahlung gesamt]]-Tabelle1[[#This Row],[Zinsleistung]]</f>
        <v>419.45223797395363</v>
      </c>
      <c r="I147" s="14">
        <f>IF(AnzahlZahlungen&lt;&gt;"",Tabelle1[[#This Row],[Startsaldo]]*Zinssatz/12,"")</f>
        <v>240.50350124270378</v>
      </c>
      <c r="J147" s="13">
        <f>IF(AnzahlZahlungen&lt;&gt;0,Tabelle1[[#This Row],[Startsaldo]]-Tabelle1[[#This Row],[Zahlung gesamt]],"")</f>
        <v>57060.884559032238</v>
      </c>
      <c r="K147" s="14">
        <f>K146+Tabelle1[[#This Row],[Zinsleistung]]</f>
        <v>44415.5456368737</v>
      </c>
    </row>
    <row r="148" spans="2:11" x14ac:dyDescent="0.25">
      <c r="B148" s="11">
        <f t="shared" si="5"/>
        <v>133</v>
      </c>
      <c r="C148" s="12">
        <f>IF((Startdatum),EOMONTH(C147,1))</f>
        <v>47299</v>
      </c>
      <c r="D148" s="13">
        <f t="shared" si="4"/>
        <v>57301.388060274949</v>
      </c>
      <c r="E148" s="14">
        <f>IF(AnzahlZahlungen&lt;&gt;"",IF(Tabelle1[[#This Row],[Startsaldo]]&lt;Rate,Tabelle1[[#This Row],[Startsaldo]],Rate),"")</f>
        <v>659.95573921665743</v>
      </c>
      <c r="F148" s="19"/>
      <c r="G148" s="13">
        <f>Tabelle1[[#This Row],[Planmässige Zahlung ]]+Tabelle1[[#This Row],[Sonderzahlung]]</f>
        <v>659.95573921665743</v>
      </c>
      <c r="H148" s="14">
        <f>Tabelle1[[#This Row],[Zahlung gesamt]]-Tabelle1[[#This Row],[Zinsleistung]]</f>
        <v>421.19995563217844</v>
      </c>
      <c r="I148" s="14">
        <f>IF(AnzahlZahlungen&lt;&gt;"",Tabelle1[[#This Row],[Startsaldo]]*Zinssatz/12,"")</f>
        <v>238.75578358447896</v>
      </c>
      <c r="J148" s="13">
        <f>IF(AnzahlZahlungen&lt;&gt;0,Tabelle1[[#This Row],[Startsaldo]]-Tabelle1[[#This Row],[Zahlung gesamt]],"")</f>
        <v>56641.432321058288</v>
      </c>
      <c r="K148" s="14">
        <f>K147+Tabelle1[[#This Row],[Zinsleistung]]</f>
        <v>44654.301420458178</v>
      </c>
    </row>
    <row r="149" spans="2:11" x14ac:dyDescent="0.25">
      <c r="B149" s="11">
        <f t="shared" si="5"/>
        <v>134</v>
      </c>
      <c r="C149" s="12">
        <f>IF((Startdatum),EOMONTH(C148,1))</f>
        <v>47330</v>
      </c>
      <c r="D149" s="13">
        <f t="shared" si="4"/>
        <v>56880.188104642773</v>
      </c>
      <c r="E149" s="14">
        <f>IF(AnzahlZahlungen&lt;&gt;"",IF(Tabelle1[[#This Row],[Startsaldo]]&lt;Rate,Tabelle1[[#This Row],[Startsaldo]],Rate),"")</f>
        <v>659.95573921665743</v>
      </c>
      <c r="F149" s="19"/>
      <c r="G149" s="13">
        <f>Tabelle1[[#This Row],[Planmässige Zahlung ]]+Tabelle1[[#This Row],[Sonderzahlung]]</f>
        <v>659.95573921665743</v>
      </c>
      <c r="H149" s="14">
        <f>Tabelle1[[#This Row],[Zahlung gesamt]]-Tabelle1[[#This Row],[Zinsleistung]]</f>
        <v>422.9549554473125</v>
      </c>
      <c r="I149" s="14">
        <f>IF(AnzahlZahlungen&lt;&gt;"",Tabelle1[[#This Row],[Startsaldo]]*Zinssatz/12,"")</f>
        <v>237.00078376934491</v>
      </c>
      <c r="J149" s="13">
        <f>IF(AnzahlZahlungen&lt;&gt;0,Tabelle1[[#This Row],[Startsaldo]]-Tabelle1[[#This Row],[Zahlung gesamt]],"")</f>
        <v>56220.232365426113</v>
      </c>
      <c r="K149" s="14">
        <f>K148+Tabelle1[[#This Row],[Zinsleistung]]</f>
        <v>44891.302204227526</v>
      </c>
    </row>
    <row r="150" spans="2:11" x14ac:dyDescent="0.25">
      <c r="B150" s="11">
        <f t="shared" si="5"/>
        <v>135</v>
      </c>
      <c r="C150" s="12">
        <f>IF((Startdatum),EOMONTH(C149,1))</f>
        <v>47361</v>
      </c>
      <c r="D150" s="13">
        <f t="shared" si="4"/>
        <v>56457.233149195461</v>
      </c>
      <c r="E150" s="14">
        <f>IF(AnzahlZahlungen&lt;&gt;"",IF(Tabelle1[[#This Row],[Startsaldo]]&lt;Rate,Tabelle1[[#This Row],[Startsaldo]],Rate),"")</f>
        <v>659.95573921665743</v>
      </c>
      <c r="F150" s="19"/>
      <c r="G150" s="13">
        <f>Tabelle1[[#This Row],[Planmässige Zahlung ]]+Tabelle1[[#This Row],[Sonderzahlung]]</f>
        <v>659.95573921665743</v>
      </c>
      <c r="H150" s="14">
        <f>Tabelle1[[#This Row],[Zahlung gesamt]]-Tabelle1[[#This Row],[Zinsleistung]]</f>
        <v>424.71726776167634</v>
      </c>
      <c r="I150" s="14">
        <f>IF(AnzahlZahlungen&lt;&gt;"",Tabelle1[[#This Row],[Startsaldo]]*Zinssatz/12,"")</f>
        <v>235.2384714549811</v>
      </c>
      <c r="J150" s="13">
        <f>IF(AnzahlZahlungen&lt;&gt;0,Tabelle1[[#This Row],[Startsaldo]]-Tabelle1[[#This Row],[Zahlung gesamt]],"")</f>
        <v>55797.2774099788</v>
      </c>
      <c r="K150" s="14">
        <f>K149+Tabelle1[[#This Row],[Zinsleistung]]</f>
        <v>45126.54067568251</v>
      </c>
    </row>
    <row r="151" spans="2:11" x14ac:dyDescent="0.25">
      <c r="B151" s="11">
        <f t="shared" si="5"/>
        <v>136</v>
      </c>
      <c r="C151" s="12">
        <f>IF((Startdatum),EOMONTH(C150,1))</f>
        <v>47391</v>
      </c>
      <c r="D151" s="13">
        <f t="shared" si="4"/>
        <v>56032.515881433785</v>
      </c>
      <c r="E151" s="14">
        <f>IF(AnzahlZahlungen&lt;&gt;"",IF(Tabelle1[[#This Row],[Startsaldo]]&lt;Rate,Tabelle1[[#This Row],[Startsaldo]],Rate),"")</f>
        <v>659.95573921665743</v>
      </c>
      <c r="F151" s="19"/>
      <c r="G151" s="13">
        <f>Tabelle1[[#This Row],[Planmässige Zahlung ]]+Tabelle1[[#This Row],[Sonderzahlung]]</f>
        <v>659.95573921665743</v>
      </c>
      <c r="H151" s="14">
        <f>Tabelle1[[#This Row],[Zahlung gesamt]]-Tabelle1[[#This Row],[Zinsleistung]]</f>
        <v>426.48692304401663</v>
      </c>
      <c r="I151" s="14">
        <f>IF(AnzahlZahlungen&lt;&gt;"",Tabelle1[[#This Row],[Startsaldo]]*Zinssatz/12,"")</f>
        <v>233.4688161726408</v>
      </c>
      <c r="J151" s="13">
        <f>IF(AnzahlZahlungen&lt;&gt;0,Tabelle1[[#This Row],[Startsaldo]]-Tabelle1[[#This Row],[Zahlung gesamt]],"")</f>
        <v>55372.560142217124</v>
      </c>
      <c r="K151" s="14">
        <f>K150+Tabelle1[[#This Row],[Zinsleistung]]</f>
        <v>45360.009491855148</v>
      </c>
    </row>
    <row r="152" spans="2:11" x14ac:dyDescent="0.25">
      <c r="B152" s="11">
        <f t="shared" si="5"/>
        <v>137</v>
      </c>
      <c r="C152" s="12">
        <f>IF((Startdatum),EOMONTH(C151,1))</f>
        <v>47422</v>
      </c>
      <c r="D152" s="13">
        <f t="shared" si="4"/>
        <v>55606.028958389768</v>
      </c>
      <c r="E152" s="14">
        <f>IF(AnzahlZahlungen&lt;&gt;"",IF(Tabelle1[[#This Row],[Startsaldo]]&lt;Rate,Tabelle1[[#This Row],[Startsaldo]],Rate),"")</f>
        <v>659.95573921665743</v>
      </c>
      <c r="F152" s="19"/>
      <c r="G152" s="13">
        <f>Tabelle1[[#This Row],[Planmässige Zahlung ]]+Tabelle1[[#This Row],[Sonderzahlung]]</f>
        <v>659.95573921665743</v>
      </c>
      <c r="H152" s="14">
        <f>Tabelle1[[#This Row],[Zahlung gesamt]]-Tabelle1[[#This Row],[Zinsleistung]]</f>
        <v>428.26395189003335</v>
      </c>
      <c r="I152" s="14">
        <f>IF(AnzahlZahlungen&lt;&gt;"",Tabelle1[[#This Row],[Startsaldo]]*Zinssatz/12,"")</f>
        <v>231.69178732662405</v>
      </c>
      <c r="J152" s="13">
        <f>IF(AnzahlZahlungen&lt;&gt;0,Tabelle1[[#This Row],[Startsaldo]]-Tabelle1[[#This Row],[Zahlung gesamt]],"")</f>
        <v>54946.073219173108</v>
      </c>
      <c r="K152" s="14">
        <f>K151+Tabelle1[[#This Row],[Zinsleistung]]</f>
        <v>45591.701279181769</v>
      </c>
    </row>
    <row r="153" spans="2:11" x14ac:dyDescent="0.25">
      <c r="B153" s="11">
        <f t="shared" si="5"/>
        <v>138</v>
      </c>
      <c r="C153" s="12">
        <f>IF((Startdatum),EOMONTH(C152,1))</f>
        <v>47452</v>
      </c>
      <c r="D153" s="13">
        <f t="shared" si="4"/>
        <v>55177.765006499736</v>
      </c>
      <c r="E153" s="14">
        <f>IF(AnzahlZahlungen&lt;&gt;"",IF(Tabelle1[[#This Row],[Startsaldo]]&lt;Rate,Tabelle1[[#This Row],[Startsaldo]],Rate),"")</f>
        <v>659.95573921665743</v>
      </c>
      <c r="F153" s="19"/>
      <c r="G153" s="13">
        <f>Tabelle1[[#This Row],[Planmässige Zahlung ]]+Tabelle1[[#This Row],[Sonderzahlung]]</f>
        <v>659.95573921665743</v>
      </c>
      <c r="H153" s="14">
        <f>Tabelle1[[#This Row],[Zahlung gesamt]]-Tabelle1[[#This Row],[Zinsleistung]]</f>
        <v>430.04838502290852</v>
      </c>
      <c r="I153" s="14">
        <f>IF(AnzahlZahlungen&lt;&gt;"",Tabelle1[[#This Row],[Startsaldo]]*Zinssatz/12,"")</f>
        <v>229.90735419374892</v>
      </c>
      <c r="J153" s="13">
        <f>IF(AnzahlZahlungen&lt;&gt;0,Tabelle1[[#This Row],[Startsaldo]]-Tabelle1[[#This Row],[Zahlung gesamt]],"")</f>
        <v>54517.809267283075</v>
      </c>
      <c r="K153" s="14">
        <f>K152+Tabelle1[[#This Row],[Zinsleistung]]</f>
        <v>45821.608633375516</v>
      </c>
    </row>
    <row r="154" spans="2:11" x14ac:dyDescent="0.25">
      <c r="B154" s="11">
        <f t="shared" si="5"/>
        <v>139</v>
      </c>
      <c r="C154" s="12">
        <f>IF((Startdatum),EOMONTH(C153,1))</f>
        <v>47483</v>
      </c>
      <c r="D154" s="13">
        <f t="shared" si="4"/>
        <v>54747.716621476829</v>
      </c>
      <c r="E154" s="14">
        <f>IF(AnzahlZahlungen&lt;&gt;"",IF(Tabelle1[[#This Row],[Startsaldo]]&lt;Rate,Tabelle1[[#This Row],[Startsaldo]],Rate),"")</f>
        <v>659.95573921665743</v>
      </c>
      <c r="F154" s="19"/>
      <c r="G154" s="13">
        <f>Tabelle1[[#This Row],[Planmässige Zahlung ]]+Tabelle1[[#This Row],[Sonderzahlung]]</f>
        <v>659.95573921665743</v>
      </c>
      <c r="H154" s="14">
        <f>Tabelle1[[#This Row],[Zahlung gesamt]]-Tabelle1[[#This Row],[Zinsleistung]]</f>
        <v>431.84025329383735</v>
      </c>
      <c r="I154" s="14">
        <f>IF(AnzahlZahlungen&lt;&gt;"",Tabelle1[[#This Row],[Startsaldo]]*Zinssatz/12,"")</f>
        <v>228.11548592282011</v>
      </c>
      <c r="J154" s="13">
        <f>IF(AnzahlZahlungen&lt;&gt;0,Tabelle1[[#This Row],[Startsaldo]]-Tabelle1[[#This Row],[Zahlung gesamt]],"")</f>
        <v>54087.760882260169</v>
      </c>
      <c r="K154" s="14">
        <f>K153+Tabelle1[[#This Row],[Zinsleistung]]</f>
        <v>46049.724119298335</v>
      </c>
    </row>
    <row r="155" spans="2:11" x14ac:dyDescent="0.25">
      <c r="B155" s="11">
        <f t="shared" si="5"/>
        <v>140</v>
      </c>
      <c r="C155" s="12">
        <f>IF((Startdatum),EOMONTH(C154,1))</f>
        <v>47514</v>
      </c>
      <c r="D155" s="13">
        <f t="shared" si="4"/>
        <v>54315.876368182995</v>
      </c>
      <c r="E155" s="14">
        <f>IF(AnzahlZahlungen&lt;&gt;"",IF(Tabelle1[[#This Row],[Startsaldo]]&lt;Rate,Tabelle1[[#This Row],[Startsaldo]],Rate),"")</f>
        <v>659.95573921665743</v>
      </c>
      <c r="F155" s="19"/>
      <c r="G155" s="13">
        <f>Tabelle1[[#This Row],[Planmässige Zahlung ]]+Tabelle1[[#This Row],[Sonderzahlung]]</f>
        <v>659.95573921665743</v>
      </c>
      <c r="H155" s="14">
        <f>Tabelle1[[#This Row],[Zahlung gesamt]]-Tabelle1[[#This Row],[Zinsleistung]]</f>
        <v>433.63958768256157</v>
      </c>
      <c r="I155" s="14">
        <f>IF(AnzahlZahlungen&lt;&gt;"",Tabelle1[[#This Row],[Startsaldo]]*Zinssatz/12,"")</f>
        <v>226.31615153409584</v>
      </c>
      <c r="J155" s="13">
        <f>IF(AnzahlZahlungen&lt;&gt;0,Tabelle1[[#This Row],[Startsaldo]]-Tabelle1[[#This Row],[Zahlung gesamt]],"")</f>
        <v>53655.920628966334</v>
      </c>
      <c r="K155" s="14">
        <f>K154+Tabelle1[[#This Row],[Zinsleistung]]</f>
        <v>46276.040270832433</v>
      </c>
    </row>
    <row r="156" spans="2:11" x14ac:dyDescent="0.25">
      <c r="B156" s="11">
        <f t="shared" si="5"/>
        <v>141</v>
      </c>
      <c r="C156" s="12">
        <f>IF((Startdatum),EOMONTH(C155,1))</f>
        <v>47542</v>
      </c>
      <c r="D156" s="13">
        <f t="shared" si="4"/>
        <v>53882.236780500432</v>
      </c>
      <c r="E156" s="14">
        <f>IF(AnzahlZahlungen&lt;&gt;"",IF(Tabelle1[[#This Row],[Startsaldo]]&lt;Rate,Tabelle1[[#This Row],[Startsaldo]],Rate),"")</f>
        <v>659.95573921665743</v>
      </c>
      <c r="F156" s="19"/>
      <c r="G156" s="13">
        <f>Tabelle1[[#This Row],[Planmässige Zahlung ]]+Tabelle1[[#This Row],[Sonderzahlung]]</f>
        <v>659.95573921665743</v>
      </c>
      <c r="H156" s="14">
        <f>Tabelle1[[#This Row],[Zahlung gesamt]]-Tabelle1[[#This Row],[Zinsleistung]]</f>
        <v>435.44641929790566</v>
      </c>
      <c r="I156" s="14">
        <f>IF(AnzahlZahlungen&lt;&gt;"",Tabelle1[[#This Row],[Startsaldo]]*Zinssatz/12,"")</f>
        <v>224.5093199187518</v>
      </c>
      <c r="J156" s="13">
        <f>IF(AnzahlZahlungen&lt;&gt;0,Tabelle1[[#This Row],[Startsaldo]]-Tabelle1[[#This Row],[Zahlung gesamt]],"")</f>
        <v>53222.281041283772</v>
      </c>
      <c r="K156" s="14">
        <f>K155+Tabelle1[[#This Row],[Zinsleistung]]</f>
        <v>46500.549590751187</v>
      </c>
    </row>
    <row r="157" spans="2:11" x14ac:dyDescent="0.25">
      <c r="B157" s="11">
        <f t="shared" si="5"/>
        <v>142</v>
      </c>
      <c r="C157" s="12">
        <f>IF((Startdatum),EOMONTH(C156,1))</f>
        <v>47573</v>
      </c>
      <c r="D157" s="13">
        <f t="shared" si="4"/>
        <v>53446.790361202526</v>
      </c>
      <c r="E157" s="14">
        <f>IF(AnzahlZahlungen&lt;&gt;"",IF(Tabelle1[[#This Row],[Startsaldo]]&lt;Rate,Tabelle1[[#This Row],[Startsaldo]],Rate),"")</f>
        <v>659.95573921665743</v>
      </c>
      <c r="F157" s="19"/>
      <c r="G157" s="13">
        <f>Tabelle1[[#This Row],[Planmässige Zahlung ]]+Tabelle1[[#This Row],[Sonderzahlung]]</f>
        <v>659.95573921665743</v>
      </c>
      <c r="H157" s="14">
        <f>Tabelle1[[#This Row],[Zahlung gesamt]]-Tabelle1[[#This Row],[Zinsleistung]]</f>
        <v>437.2607793783136</v>
      </c>
      <c r="I157" s="14">
        <f>IF(AnzahlZahlungen&lt;&gt;"",Tabelle1[[#This Row],[Startsaldo]]*Zinssatz/12,"")</f>
        <v>222.69495983834386</v>
      </c>
      <c r="J157" s="13">
        <f>IF(AnzahlZahlungen&lt;&gt;0,Tabelle1[[#This Row],[Startsaldo]]-Tabelle1[[#This Row],[Zahlung gesamt]],"")</f>
        <v>52786.834621985865</v>
      </c>
      <c r="K157" s="14">
        <f>K156+Tabelle1[[#This Row],[Zinsleistung]]</f>
        <v>46723.24455058953</v>
      </c>
    </row>
    <row r="158" spans="2:11" x14ac:dyDescent="0.25">
      <c r="B158" s="11">
        <f t="shared" si="5"/>
        <v>143</v>
      </c>
      <c r="C158" s="12">
        <f>IF((Startdatum),EOMONTH(C157,1))</f>
        <v>47603</v>
      </c>
      <c r="D158" s="13">
        <f t="shared" si="4"/>
        <v>53009.529581824216</v>
      </c>
      <c r="E158" s="14">
        <f>IF(AnzahlZahlungen&lt;&gt;"",IF(Tabelle1[[#This Row],[Startsaldo]]&lt;Rate,Tabelle1[[#This Row],[Startsaldo]],Rate),"")</f>
        <v>659.95573921665743</v>
      </c>
      <c r="F158" s="19"/>
      <c r="G158" s="13">
        <f>Tabelle1[[#This Row],[Planmässige Zahlung ]]+Tabelle1[[#This Row],[Sonderzahlung]]</f>
        <v>659.95573921665743</v>
      </c>
      <c r="H158" s="14">
        <f>Tabelle1[[#This Row],[Zahlung gesamt]]-Tabelle1[[#This Row],[Zinsleistung]]</f>
        <v>439.08269929238986</v>
      </c>
      <c r="I158" s="14">
        <f>IF(AnzahlZahlungen&lt;&gt;"",Tabelle1[[#This Row],[Startsaldo]]*Zinssatz/12,"")</f>
        <v>220.87303992426757</v>
      </c>
      <c r="J158" s="13">
        <f>IF(AnzahlZahlungen&lt;&gt;0,Tabelle1[[#This Row],[Startsaldo]]-Tabelle1[[#This Row],[Zahlung gesamt]],"")</f>
        <v>52349.573842607555</v>
      </c>
      <c r="K158" s="14">
        <f>K157+Tabelle1[[#This Row],[Zinsleistung]]</f>
        <v>46944.117590513801</v>
      </c>
    </row>
    <row r="159" spans="2:11" x14ac:dyDescent="0.25">
      <c r="B159" s="11">
        <f t="shared" si="5"/>
        <v>144</v>
      </c>
      <c r="C159" s="12">
        <f>IF((Startdatum),EOMONTH(C158,1))</f>
        <v>47634</v>
      </c>
      <c r="D159" s="13">
        <f t="shared" si="4"/>
        <v>52570.446882531825</v>
      </c>
      <c r="E159" s="14">
        <f>IF(AnzahlZahlungen&lt;&gt;"",IF(Tabelle1[[#This Row],[Startsaldo]]&lt;Rate,Tabelle1[[#This Row],[Startsaldo]],Rate),"")</f>
        <v>659.95573921665743</v>
      </c>
      <c r="F159" s="19"/>
      <c r="G159" s="13">
        <f>Tabelle1[[#This Row],[Planmässige Zahlung ]]+Tabelle1[[#This Row],[Sonderzahlung]]</f>
        <v>659.95573921665743</v>
      </c>
      <c r="H159" s="14">
        <f>Tabelle1[[#This Row],[Zahlung gesamt]]-Tabelle1[[#This Row],[Zinsleistung]]</f>
        <v>440.9122105394415</v>
      </c>
      <c r="I159" s="14">
        <f>IF(AnzahlZahlungen&lt;&gt;"",Tabelle1[[#This Row],[Startsaldo]]*Zinssatz/12,"")</f>
        <v>219.04352867721596</v>
      </c>
      <c r="J159" s="13">
        <f>IF(AnzahlZahlungen&lt;&gt;0,Tabelle1[[#This Row],[Startsaldo]]-Tabelle1[[#This Row],[Zahlung gesamt]],"")</f>
        <v>51910.491143315165</v>
      </c>
      <c r="K159" s="14">
        <f>K158+Tabelle1[[#This Row],[Zinsleistung]]</f>
        <v>47163.16111919102</v>
      </c>
    </row>
    <row r="160" spans="2:11" x14ac:dyDescent="0.25">
      <c r="B160" s="11">
        <f t="shared" si="5"/>
        <v>145</v>
      </c>
      <c r="C160" s="12">
        <f>IF((Startdatum),EOMONTH(C159,1))</f>
        <v>47664</v>
      </c>
      <c r="D160" s="13">
        <f t="shared" si="4"/>
        <v>52129.534671992384</v>
      </c>
      <c r="E160" s="14">
        <f>IF(AnzahlZahlungen&lt;&gt;"",IF(Tabelle1[[#This Row],[Startsaldo]]&lt;Rate,Tabelle1[[#This Row],[Startsaldo]],Rate),"")</f>
        <v>659.95573921665743</v>
      </c>
      <c r="F160" s="19"/>
      <c r="G160" s="13">
        <f>Tabelle1[[#This Row],[Planmässige Zahlung ]]+Tabelle1[[#This Row],[Sonderzahlung]]</f>
        <v>659.95573921665743</v>
      </c>
      <c r="H160" s="14">
        <f>Tabelle1[[#This Row],[Zahlung gesamt]]-Tabelle1[[#This Row],[Zinsleistung]]</f>
        <v>442.74934475002249</v>
      </c>
      <c r="I160" s="14">
        <f>IF(AnzahlZahlungen&lt;&gt;"",Tabelle1[[#This Row],[Startsaldo]]*Zinssatz/12,"")</f>
        <v>217.20639446663495</v>
      </c>
      <c r="J160" s="13">
        <f>IF(AnzahlZahlungen&lt;&gt;0,Tabelle1[[#This Row],[Startsaldo]]-Tabelle1[[#This Row],[Zahlung gesamt]],"")</f>
        <v>51469.578932775723</v>
      </c>
      <c r="K160" s="14">
        <f>K159+Tabelle1[[#This Row],[Zinsleistung]]</f>
        <v>47380.367513657657</v>
      </c>
    </row>
    <row r="161" spans="2:11" x14ac:dyDescent="0.25">
      <c r="B161" s="11">
        <f t="shared" si="5"/>
        <v>146</v>
      </c>
      <c r="C161" s="12">
        <f>IF((Startdatum),EOMONTH(C160,1))</f>
        <v>47695</v>
      </c>
      <c r="D161" s="13">
        <f t="shared" si="4"/>
        <v>51686.78532724236</v>
      </c>
      <c r="E161" s="14">
        <f>IF(AnzahlZahlungen&lt;&gt;"",IF(Tabelle1[[#This Row],[Startsaldo]]&lt;Rate,Tabelle1[[#This Row],[Startsaldo]],Rate),"")</f>
        <v>659.95573921665743</v>
      </c>
      <c r="F161" s="19"/>
      <c r="G161" s="13">
        <f>Tabelle1[[#This Row],[Planmässige Zahlung ]]+Tabelle1[[#This Row],[Sonderzahlung]]</f>
        <v>659.95573921665743</v>
      </c>
      <c r="H161" s="14">
        <f>Tabelle1[[#This Row],[Zahlung gesamt]]-Tabelle1[[#This Row],[Zinsleistung]]</f>
        <v>444.59413368648097</v>
      </c>
      <c r="I161" s="14">
        <f>IF(AnzahlZahlungen&lt;&gt;"",Tabelle1[[#This Row],[Startsaldo]]*Zinssatz/12,"")</f>
        <v>215.36160553017649</v>
      </c>
      <c r="J161" s="13">
        <f>IF(AnzahlZahlungen&lt;&gt;0,Tabelle1[[#This Row],[Startsaldo]]-Tabelle1[[#This Row],[Zahlung gesamt]],"")</f>
        <v>51026.829588025699</v>
      </c>
      <c r="K161" s="14">
        <f>K160+Tabelle1[[#This Row],[Zinsleistung]]</f>
        <v>47595.729119187832</v>
      </c>
    </row>
    <row r="162" spans="2:11" x14ac:dyDescent="0.25">
      <c r="B162" s="11">
        <f t="shared" si="5"/>
        <v>147</v>
      </c>
      <c r="C162" s="12">
        <f>IF((Startdatum),EOMONTH(C161,1))</f>
        <v>47726</v>
      </c>
      <c r="D162" s="13">
        <f t="shared" si="4"/>
        <v>51242.191193555882</v>
      </c>
      <c r="E162" s="14">
        <f>IF(AnzahlZahlungen&lt;&gt;"",IF(Tabelle1[[#This Row],[Startsaldo]]&lt;Rate,Tabelle1[[#This Row],[Startsaldo]],Rate),"")</f>
        <v>659.95573921665743</v>
      </c>
      <c r="F162" s="19"/>
      <c r="G162" s="13">
        <f>Tabelle1[[#This Row],[Planmässige Zahlung ]]+Tabelle1[[#This Row],[Sonderzahlung]]</f>
        <v>659.95573921665743</v>
      </c>
      <c r="H162" s="14">
        <f>Tabelle1[[#This Row],[Zahlung gesamt]]-Tabelle1[[#This Row],[Zinsleistung]]</f>
        <v>446.44660924350796</v>
      </c>
      <c r="I162" s="14">
        <f>IF(AnzahlZahlungen&lt;&gt;"",Tabelle1[[#This Row],[Startsaldo]]*Zinssatz/12,"")</f>
        <v>213.5091299731495</v>
      </c>
      <c r="J162" s="13">
        <f>IF(AnzahlZahlungen&lt;&gt;0,Tabelle1[[#This Row],[Startsaldo]]-Tabelle1[[#This Row],[Zahlung gesamt]],"")</f>
        <v>50582.235454339221</v>
      </c>
      <c r="K162" s="14">
        <f>K161+Tabelle1[[#This Row],[Zinsleistung]]</f>
        <v>47809.238249160982</v>
      </c>
    </row>
    <row r="163" spans="2:11" x14ac:dyDescent="0.25">
      <c r="B163" s="11">
        <f t="shared" si="5"/>
        <v>148</v>
      </c>
      <c r="C163" s="12">
        <f>IF((Startdatum),EOMONTH(C162,1))</f>
        <v>47756</v>
      </c>
      <c r="D163" s="13">
        <f t="shared" si="4"/>
        <v>50795.744584312371</v>
      </c>
      <c r="E163" s="14">
        <f>IF(AnzahlZahlungen&lt;&gt;"",IF(Tabelle1[[#This Row],[Startsaldo]]&lt;Rate,Tabelle1[[#This Row],[Startsaldo]],Rate),"")</f>
        <v>659.95573921665743</v>
      </c>
      <c r="F163" s="19"/>
      <c r="G163" s="13">
        <f>Tabelle1[[#This Row],[Planmässige Zahlung ]]+Tabelle1[[#This Row],[Sonderzahlung]]</f>
        <v>659.95573921665743</v>
      </c>
      <c r="H163" s="14">
        <f>Tabelle1[[#This Row],[Zahlung gesamt]]-Tabelle1[[#This Row],[Zinsleistung]]</f>
        <v>448.30680344868915</v>
      </c>
      <c r="I163" s="14">
        <f>IF(AnzahlZahlungen&lt;&gt;"",Tabelle1[[#This Row],[Startsaldo]]*Zinssatz/12,"")</f>
        <v>211.64893576796825</v>
      </c>
      <c r="J163" s="13">
        <f>IF(AnzahlZahlungen&lt;&gt;0,Tabelle1[[#This Row],[Startsaldo]]-Tabelle1[[#This Row],[Zahlung gesamt]],"")</f>
        <v>50135.788845095711</v>
      </c>
      <c r="K163" s="14">
        <f>K162+Tabelle1[[#This Row],[Zinsleistung]]</f>
        <v>48020.88718492895</v>
      </c>
    </row>
    <row r="164" spans="2:11" x14ac:dyDescent="0.25">
      <c r="B164" s="11">
        <f t="shared" si="5"/>
        <v>149</v>
      </c>
      <c r="C164" s="12">
        <f>IF((Startdatum),EOMONTH(C163,1))</f>
        <v>47787</v>
      </c>
      <c r="D164" s="13">
        <f t="shared" si="4"/>
        <v>50347.437780863685</v>
      </c>
      <c r="E164" s="14">
        <f>IF(AnzahlZahlungen&lt;&gt;"",IF(Tabelle1[[#This Row],[Startsaldo]]&lt;Rate,Tabelle1[[#This Row],[Startsaldo]],Rate),"")</f>
        <v>659.95573921665743</v>
      </c>
      <c r="F164" s="19"/>
      <c r="G164" s="13">
        <f>Tabelle1[[#This Row],[Planmässige Zahlung ]]+Tabelle1[[#This Row],[Sonderzahlung]]</f>
        <v>659.95573921665743</v>
      </c>
      <c r="H164" s="14">
        <f>Tabelle1[[#This Row],[Zahlung gesamt]]-Tabelle1[[#This Row],[Zinsleistung]]</f>
        <v>450.17474846305868</v>
      </c>
      <c r="I164" s="14">
        <f>IF(AnzahlZahlungen&lt;&gt;"",Tabelle1[[#This Row],[Startsaldo]]*Zinssatz/12,"")</f>
        <v>209.78099075359873</v>
      </c>
      <c r="J164" s="13">
        <f>IF(AnzahlZahlungen&lt;&gt;0,Tabelle1[[#This Row],[Startsaldo]]-Tabelle1[[#This Row],[Zahlung gesamt]],"")</f>
        <v>49687.482041647025</v>
      </c>
      <c r="K164" s="14">
        <f>K163+Tabelle1[[#This Row],[Zinsleistung]]</f>
        <v>48230.668175682549</v>
      </c>
    </row>
    <row r="165" spans="2:11" x14ac:dyDescent="0.25">
      <c r="B165" s="11">
        <f t="shared" si="5"/>
        <v>150</v>
      </c>
      <c r="C165" s="12">
        <f>IF((Startdatum),EOMONTH(C164,1))</f>
        <v>47817</v>
      </c>
      <c r="D165" s="13">
        <f t="shared" si="4"/>
        <v>49897.263032400624</v>
      </c>
      <c r="E165" s="14">
        <f>IF(AnzahlZahlungen&lt;&gt;"",IF(Tabelle1[[#This Row],[Startsaldo]]&lt;Rate,Tabelle1[[#This Row],[Startsaldo]],Rate),"")</f>
        <v>659.95573921665743</v>
      </c>
      <c r="F165" s="19"/>
      <c r="G165" s="13">
        <f>Tabelle1[[#This Row],[Planmässige Zahlung ]]+Tabelle1[[#This Row],[Sonderzahlung]]</f>
        <v>659.95573921665743</v>
      </c>
      <c r="H165" s="14">
        <f>Tabelle1[[#This Row],[Zahlung gesamt]]-Tabelle1[[#This Row],[Zinsleistung]]</f>
        <v>452.05047658165483</v>
      </c>
      <c r="I165" s="14">
        <f>IF(AnzahlZahlungen&lt;&gt;"",Tabelle1[[#This Row],[Startsaldo]]*Zinssatz/12,"")</f>
        <v>207.9052626350026</v>
      </c>
      <c r="J165" s="13">
        <f>IF(AnzahlZahlungen&lt;&gt;0,Tabelle1[[#This Row],[Startsaldo]]-Tabelle1[[#This Row],[Zahlung gesamt]],"")</f>
        <v>49237.307293183963</v>
      </c>
      <c r="K165" s="14">
        <f>K164+Tabelle1[[#This Row],[Zinsleistung]]</f>
        <v>48438.573438317551</v>
      </c>
    </row>
    <row r="166" spans="2:11" x14ac:dyDescent="0.25">
      <c r="B166" s="11">
        <f t="shared" si="5"/>
        <v>151</v>
      </c>
      <c r="C166" s="12">
        <f>IF((Startdatum),EOMONTH(C165,1))</f>
        <v>47848</v>
      </c>
      <c r="D166" s="13">
        <f t="shared" si="4"/>
        <v>49445.212555818973</v>
      </c>
      <c r="E166" s="14">
        <f>IF(AnzahlZahlungen&lt;&gt;"",IF(Tabelle1[[#This Row],[Startsaldo]]&lt;Rate,Tabelle1[[#This Row],[Startsaldo]],Rate),"")</f>
        <v>659.95573921665743</v>
      </c>
      <c r="F166" s="19"/>
      <c r="G166" s="13">
        <f>Tabelle1[[#This Row],[Planmässige Zahlung ]]+Tabelle1[[#This Row],[Sonderzahlung]]</f>
        <v>659.95573921665743</v>
      </c>
      <c r="H166" s="14">
        <f>Tabelle1[[#This Row],[Zahlung gesamt]]-Tabelle1[[#This Row],[Zinsleistung]]</f>
        <v>453.93402023407839</v>
      </c>
      <c r="I166" s="14">
        <f>IF(AnzahlZahlungen&lt;&gt;"",Tabelle1[[#This Row],[Startsaldo]]*Zinssatz/12,"")</f>
        <v>206.02171898257907</v>
      </c>
      <c r="J166" s="13">
        <f>IF(AnzahlZahlungen&lt;&gt;0,Tabelle1[[#This Row],[Startsaldo]]-Tabelle1[[#This Row],[Zahlung gesamt]],"")</f>
        <v>48785.256816602312</v>
      </c>
      <c r="K166" s="14">
        <f>K165+Tabelle1[[#This Row],[Zinsleistung]]</f>
        <v>48644.595157300129</v>
      </c>
    </row>
    <row r="167" spans="2:11" x14ac:dyDescent="0.25">
      <c r="B167" s="11">
        <f t="shared" si="5"/>
        <v>152</v>
      </c>
      <c r="C167" s="12">
        <f>IF((Startdatum),EOMONTH(C166,1))</f>
        <v>47879</v>
      </c>
      <c r="D167" s="13">
        <f t="shared" si="4"/>
        <v>48991.278535584897</v>
      </c>
      <c r="E167" s="14">
        <f>IF(AnzahlZahlungen&lt;&gt;"",IF(Tabelle1[[#This Row],[Startsaldo]]&lt;Rate,Tabelle1[[#This Row],[Startsaldo]],Rate),"")</f>
        <v>659.95573921665743</v>
      </c>
      <c r="F167" s="19"/>
      <c r="G167" s="13">
        <f>Tabelle1[[#This Row],[Planmässige Zahlung ]]+Tabelle1[[#This Row],[Sonderzahlung]]</f>
        <v>659.95573921665743</v>
      </c>
      <c r="H167" s="14">
        <f>Tabelle1[[#This Row],[Zahlung gesamt]]-Tabelle1[[#This Row],[Zinsleistung]]</f>
        <v>455.82541198505373</v>
      </c>
      <c r="I167" s="14">
        <f>IF(AnzahlZahlungen&lt;&gt;"",Tabelle1[[#This Row],[Startsaldo]]*Zinssatz/12,"")</f>
        <v>204.13032723160373</v>
      </c>
      <c r="J167" s="13">
        <f>IF(AnzahlZahlungen&lt;&gt;0,Tabelle1[[#This Row],[Startsaldo]]-Tabelle1[[#This Row],[Zahlung gesamt]],"")</f>
        <v>48331.322796368237</v>
      </c>
      <c r="K167" s="14">
        <f>K166+Tabelle1[[#This Row],[Zinsleistung]]</f>
        <v>48848.725484531737</v>
      </c>
    </row>
    <row r="168" spans="2:11" x14ac:dyDescent="0.25">
      <c r="B168" s="11">
        <f t="shared" si="5"/>
        <v>153</v>
      </c>
      <c r="C168" s="12">
        <f>IF((Startdatum),EOMONTH(C167,1))</f>
        <v>47907</v>
      </c>
      <c r="D168" s="13">
        <f t="shared" si="4"/>
        <v>48535.453123599844</v>
      </c>
      <c r="E168" s="14">
        <f>IF(AnzahlZahlungen&lt;&gt;"",IF(Tabelle1[[#This Row],[Startsaldo]]&lt;Rate,Tabelle1[[#This Row],[Startsaldo]],Rate),"")</f>
        <v>659.95573921665743</v>
      </c>
      <c r="F168" s="19"/>
      <c r="G168" s="13">
        <f>Tabelle1[[#This Row],[Planmässige Zahlung ]]+Tabelle1[[#This Row],[Sonderzahlung]]</f>
        <v>659.95573921665743</v>
      </c>
      <c r="H168" s="14">
        <f>Tabelle1[[#This Row],[Zahlung gesamt]]-Tabelle1[[#This Row],[Zinsleistung]]</f>
        <v>457.72468453499141</v>
      </c>
      <c r="I168" s="14">
        <f>IF(AnzahlZahlungen&lt;&gt;"",Tabelle1[[#This Row],[Startsaldo]]*Zinssatz/12,"")</f>
        <v>202.23105468166602</v>
      </c>
      <c r="J168" s="13">
        <f>IF(AnzahlZahlungen&lt;&gt;0,Tabelle1[[#This Row],[Startsaldo]]-Tabelle1[[#This Row],[Zahlung gesamt]],"")</f>
        <v>47875.497384383183</v>
      </c>
      <c r="K168" s="14">
        <f>K167+Tabelle1[[#This Row],[Zinsleistung]]</f>
        <v>49050.956539213403</v>
      </c>
    </row>
    <row r="169" spans="2:11" x14ac:dyDescent="0.25">
      <c r="B169" s="11">
        <f t="shared" si="5"/>
        <v>154</v>
      </c>
      <c r="C169" s="12">
        <f>IF((Startdatum),EOMONTH(C168,1))</f>
        <v>47938</v>
      </c>
      <c r="D169" s="13">
        <f t="shared" si="4"/>
        <v>48077.728439064849</v>
      </c>
      <c r="E169" s="14">
        <f>IF(AnzahlZahlungen&lt;&gt;"",IF(Tabelle1[[#This Row],[Startsaldo]]&lt;Rate,Tabelle1[[#This Row],[Startsaldo]],Rate),"")</f>
        <v>659.95573921665743</v>
      </c>
      <c r="F169" s="19"/>
      <c r="G169" s="13">
        <f>Tabelle1[[#This Row],[Planmässige Zahlung ]]+Tabelle1[[#This Row],[Sonderzahlung]]</f>
        <v>659.95573921665743</v>
      </c>
      <c r="H169" s="14">
        <f>Tabelle1[[#This Row],[Zahlung gesamt]]-Tabelle1[[#This Row],[Zinsleistung]]</f>
        <v>459.63187072055393</v>
      </c>
      <c r="I169" s="14">
        <f>IF(AnzahlZahlungen&lt;&gt;"",Tabelle1[[#This Row],[Startsaldo]]*Zinssatz/12,"")</f>
        <v>200.32386849610353</v>
      </c>
      <c r="J169" s="13">
        <f>IF(AnzahlZahlungen&lt;&gt;0,Tabelle1[[#This Row],[Startsaldo]]-Tabelle1[[#This Row],[Zahlung gesamt]],"")</f>
        <v>47417.772699848188</v>
      </c>
      <c r="K169" s="14">
        <f>K168+Tabelle1[[#This Row],[Zinsleistung]]</f>
        <v>49251.280407709506</v>
      </c>
    </row>
    <row r="170" spans="2:11" x14ac:dyDescent="0.25">
      <c r="B170" s="11">
        <f t="shared" si="5"/>
        <v>155</v>
      </c>
      <c r="C170" s="12">
        <f>IF((Startdatum),EOMONTH(C169,1))</f>
        <v>47968</v>
      </c>
      <c r="D170" s="13">
        <f t="shared" si="4"/>
        <v>47618.096568344292</v>
      </c>
      <c r="E170" s="14">
        <f>IF(AnzahlZahlungen&lt;&gt;"",IF(Tabelle1[[#This Row],[Startsaldo]]&lt;Rate,Tabelle1[[#This Row],[Startsaldo]],Rate),"")</f>
        <v>659.95573921665743</v>
      </c>
      <c r="F170" s="19"/>
      <c r="G170" s="13">
        <f>Tabelle1[[#This Row],[Planmässige Zahlung ]]+Tabelle1[[#This Row],[Sonderzahlung]]</f>
        <v>659.95573921665743</v>
      </c>
      <c r="H170" s="14">
        <f>Tabelle1[[#This Row],[Zahlung gesamt]]-Tabelle1[[#This Row],[Zinsleistung]]</f>
        <v>461.54700351522285</v>
      </c>
      <c r="I170" s="14">
        <f>IF(AnzahlZahlungen&lt;&gt;"",Tabelle1[[#This Row],[Startsaldo]]*Zinssatz/12,"")</f>
        <v>198.40873570143455</v>
      </c>
      <c r="J170" s="13">
        <f>IF(AnzahlZahlungen&lt;&gt;0,Tabelle1[[#This Row],[Startsaldo]]-Tabelle1[[#This Row],[Zahlung gesamt]],"")</f>
        <v>46958.140829127631</v>
      </c>
      <c r="K170" s="14">
        <f>K169+Tabelle1[[#This Row],[Zinsleistung]]</f>
        <v>49449.689143410942</v>
      </c>
    </row>
    <row r="171" spans="2:11" x14ac:dyDescent="0.25">
      <c r="B171" s="11">
        <f t="shared" si="5"/>
        <v>156</v>
      </c>
      <c r="C171" s="12">
        <f>IF((Startdatum),EOMONTH(C170,1))</f>
        <v>47999</v>
      </c>
      <c r="D171" s="13">
        <f t="shared" si="4"/>
        <v>47156.549564829067</v>
      </c>
      <c r="E171" s="14">
        <f>IF(AnzahlZahlungen&lt;&gt;"",IF(Tabelle1[[#This Row],[Startsaldo]]&lt;Rate,Tabelle1[[#This Row],[Startsaldo]],Rate),"")</f>
        <v>659.95573921665743</v>
      </c>
      <c r="F171" s="19"/>
      <c r="G171" s="13">
        <f>Tabelle1[[#This Row],[Planmässige Zahlung ]]+Tabelle1[[#This Row],[Sonderzahlung]]</f>
        <v>659.95573921665743</v>
      </c>
      <c r="H171" s="14">
        <f>Tabelle1[[#This Row],[Zahlung gesamt]]-Tabelle1[[#This Row],[Zinsleistung]]</f>
        <v>463.4701160298697</v>
      </c>
      <c r="I171" s="14">
        <f>IF(AnzahlZahlungen&lt;&gt;"",Tabelle1[[#This Row],[Startsaldo]]*Zinssatz/12,"")</f>
        <v>196.48562318678776</v>
      </c>
      <c r="J171" s="13">
        <f>IF(AnzahlZahlungen&lt;&gt;0,Tabelle1[[#This Row],[Startsaldo]]-Tabelle1[[#This Row],[Zahlung gesamt]],"")</f>
        <v>46496.593825612406</v>
      </c>
      <c r="K171" s="14">
        <f>K170+Tabelle1[[#This Row],[Zinsleistung]]</f>
        <v>49646.174766597731</v>
      </c>
    </row>
    <row r="172" spans="2:11" x14ac:dyDescent="0.25">
      <c r="B172" s="11">
        <f t="shared" si="5"/>
        <v>157</v>
      </c>
      <c r="C172" s="12">
        <f>IF((Startdatum),EOMONTH(C171,1))</f>
        <v>48029</v>
      </c>
      <c r="D172" s="13">
        <f t="shared" si="4"/>
        <v>46693.079448799195</v>
      </c>
      <c r="E172" s="14">
        <f>IF(AnzahlZahlungen&lt;&gt;"",IF(Tabelle1[[#This Row],[Startsaldo]]&lt;Rate,Tabelle1[[#This Row],[Startsaldo]],Rate),"")</f>
        <v>659.95573921665743</v>
      </c>
      <c r="F172" s="19"/>
      <c r="G172" s="13">
        <f>Tabelle1[[#This Row],[Planmässige Zahlung ]]+Tabelle1[[#This Row],[Sonderzahlung]]</f>
        <v>659.95573921665743</v>
      </c>
      <c r="H172" s="14">
        <f>Tabelle1[[#This Row],[Zahlung gesamt]]-Tabelle1[[#This Row],[Zinsleistung]]</f>
        <v>465.40124151332748</v>
      </c>
      <c r="I172" s="14">
        <f>IF(AnzahlZahlungen&lt;&gt;"",Tabelle1[[#This Row],[Startsaldo]]*Zinssatz/12,"")</f>
        <v>194.55449770332999</v>
      </c>
      <c r="J172" s="13">
        <f>IF(AnzahlZahlungen&lt;&gt;0,Tabelle1[[#This Row],[Startsaldo]]-Tabelle1[[#This Row],[Zahlung gesamt]],"")</f>
        <v>46033.123709582535</v>
      </c>
      <c r="K172" s="14">
        <f>K171+Tabelle1[[#This Row],[Zinsleistung]]</f>
        <v>49840.729264301059</v>
      </c>
    </row>
    <row r="173" spans="2:11" x14ac:dyDescent="0.25">
      <c r="B173" s="11">
        <f t="shared" si="5"/>
        <v>158</v>
      </c>
      <c r="C173" s="12">
        <f>IF((Startdatum),EOMONTH(C172,1))</f>
        <v>48060</v>
      </c>
      <c r="D173" s="13">
        <f t="shared" si="4"/>
        <v>46227.67820728587</v>
      </c>
      <c r="E173" s="14">
        <f>IF(AnzahlZahlungen&lt;&gt;"",IF(Tabelle1[[#This Row],[Startsaldo]]&lt;Rate,Tabelle1[[#This Row],[Startsaldo]],Rate),"")</f>
        <v>659.95573921665743</v>
      </c>
      <c r="F173" s="19"/>
      <c r="G173" s="13">
        <f>Tabelle1[[#This Row],[Planmässige Zahlung ]]+Tabelle1[[#This Row],[Sonderzahlung]]</f>
        <v>659.95573921665743</v>
      </c>
      <c r="H173" s="14">
        <f>Tabelle1[[#This Row],[Zahlung gesamt]]-Tabelle1[[#This Row],[Zinsleistung]]</f>
        <v>467.34041335296627</v>
      </c>
      <c r="I173" s="14">
        <f>IF(AnzahlZahlungen&lt;&gt;"",Tabelle1[[#This Row],[Startsaldo]]*Zinssatz/12,"")</f>
        <v>192.61532586369114</v>
      </c>
      <c r="J173" s="13">
        <f>IF(AnzahlZahlungen&lt;&gt;0,Tabelle1[[#This Row],[Startsaldo]]-Tabelle1[[#This Row],[Zahlung gesamt]],"")</f>
        <v>45567.722468069209</v>
      </c>
      <c r="K173" s="14">
        <f>K172+Tabelle1[[#This Row],[Zinsleistung]]</f>
        <v>50033.34459016475</v>
      </c>
    </row>
    <row r="174" spans="2:11" x14ac:dyDescent="0.25">
      <c r="B174" s="11">
        <f t="shared" si="5"/>
        <v>159</v>
      </c>
      <c r="C174" s="12">
        <f>IF((Startdatum),EOMONTH(C173,1))</f>
        <v>48091</v>
      </c>
      <c r="D174" s="13">
        <f t="shared" si="4"/>
        <v>45760.3377939329</v>
      </c>
      <c r="E174" s="14">
        <f>IF(AnzahlZahlungen&lt;&gt;"",IF(Tabelle1[[#This Row],[Startsaldo]]&lt;Rate,Tabelle1[[#This Row],[Startsaldo]],Rate),"")</f>
        <v>659.95573921665743</v>
      </c>
      <c r="F174" s="19"/>
      <c r="G174" s="13">
        <f>Tabelle1[[#This Row],[Planmässige Zahlung ]]+Tabelle1[[#This Row],[Sonderzahlung]]</f>
        <v>659.95573921665743</v>
      </c>
      <c r="H174" s="14">
        <f>Tabelle1[[#This Row],[Zahlung gesamt]]-Tabelle1[[#This Row],[Zinsleistung]]</f>
        <v>469.2876650752703</v>
      </c>
      <c r="I174" s="14">
        <f>IF(AnzahlZahlungen&lt;&gt;"",Tabelle1[[#This Row],[Startsaldo]]*Zinssatz/12,"")</f>
        <v>190.66807414138711</v>
      </c>
      <c r="J174" s="13">
        <f>IF(AnzahlZahlungen&lt;&gt;0,Tabelle1[[#This Row],[Startsaldo]]-Tabelle1[[#This Row],[Zahlung gesamt]],"")</f>
        <v>45100.38205471624</v>
      </c>
      <c r="K174" s="14">
        <f>K173+Tabelle1[[#This Row],[Zinsleistung]]</f>
        <v>50224.012664306138</v>
      </c>
    </row>
    <row r="175" spans="2:11" x14ac:dyDescent="0.25">
      <c r="B175" s="11">
        <f t="shared" si="5"/>
        <v>160</v>
      </c>
      <c r="C175" s="12">
        <f>IF((Startdatum),EOMONTH(C174,1))</f>
        <v>48121</v>
      </c>
      <c r="D175" s="13">
        <f t="shared" si="4"/>
        <v>45291.050128857627</v>
      </c>
      <c r="E175" s="14">
        <f>IF(AnzahlZahlungen&lt;&gt;"",IF(Tabelle1[[#This Row],[Startsaldo]]&lt;Rate,Tabelle1[[#This Row],[Startsaldo]],Rate),"")</f>
        <v>659.95573921665743</v>
      </c>
      <c r="F175" s="19"/>
      <c r="G175" s="13">
        <f>Tabelle1[[#This Row],[Planmässige Zahlung ]]+Tabelle1[[#This Row],[Sonderzahlung]]</f>
        <v>659.95573921665743</v>
      </c>
      <c r="H175" s="14">
        <f>Tabelle1[[#This Row],[Zahlung gesamt]]-Tabelle1[[#This Row],[Zinsleistung]]</f>
        <v>471.2430303464173</v>
      </c>
      <c r="I175" s="14">
        <f>IF(AnzahlZahlungen&lt;&gt;"",Tabelle1[[#This Row],[Startsaldo]]*Zinssatz/12,"")</f>
        <v>188.71270887024014</v>
      </c>
      <c r="J175" s="13">
        <f>IF(AnzahlZahlungen&lt;&gt;0,Tabelle1[[#This Row],[Startsaldo]]-Tabelle1[[#This Row],[Zahlung gesamt]],"")</f>
        <v>44631.094389640966</v>
      </c>
      <c r="K175" s="14">
        <f>K174+Tabelle1[[#This Row],[Zinsleistung]]</f>
        <v>50412.725373176378</v>
      </c>
    </row>
    <row r="176" spans="2:11" x14ac:dyDescent="0.25">
      <c r="B176" s="11">
        <f t="shared" si="5"/>
        <v>161</v>
      </c>
      <c r="C176" s="12">
        <f>IF((Startdatum),EOMONTH(C175,1))</f>
        <v>48152</v>
      </c>
      <c r="D176" s="13">
        <f t="shared" si="4"/>
        <v>44819.807098511206</v>
      </c>
      <c r="E176" s="14">
        <f>IF(AnzahlZahlungen&lt;&gt;"",IF(Tabelle1[[#This Row],[Startsaldo]]&lt;Rate,Tabelle1[[#This Row],[Startsaldo]],Rate),"")</f>
        <v>659.95573921665743</v>
      </c>
      <c r="F176" s="19"/>
      <c r="G176" s="13">
        <f>Tabelle1[[#This Row],[Planmässige Zahlung ]]+Tabelle1[[#This Row],[Sonderzahlung]]</f>
        <v>659.95573921665743</v>
      </c>
      <c r="H176" s="14">
        <f>Tabelle1[[#This Row],[Zahlung gesamt]]-Tabelle1[[#This Row],[Zinsleistung]]</f>
        <v>473.20654297286069</v>
      </c>
      <c r="I176" s="14">
        <f>IF(AnzahlZahlungen&lt;&gt;"",Tabelle1[[#This Row],[Startsaldo]]*Zinssatz/12,"")</f>
        <v>186.74919624379672</v>
      </c>
      <c r="J176" s="13">
        <f>IF(AnzahlZahlungen&lt;&gt;0,Tabelle1[[#This Row],[Startsaldo]]-Tabelle1[[#This Row],[Zahlung gesamt]],"")</f>
        <v>44159.851359294546</v>
      </c>
      <c r="K176" s="14">
        <f>K175+Tabelle1[[#This Row],[Zinsleistung]]</f>
        <v>50599.474569420177</v>
      </c>
    </row>
    <row r="177" spans="2:11" x14ac:dyDescent="0.25">
      <c r="B177" s="11">
        <f t="shared" si="5"/>
        <v>162</v>
      </c>
      <c r="C177" s="12">
        <f>IF((Startdatum),EOMONTH(C176,1))</f>
        <v>48182</v>
      </c>
      <c r="D177" s="13">
        <f t="shared" si="4"/>
        <v>44346.600555538345</v>
      </c>
      <c r="E177" s="14">
        <f>IF(AnzahlZahlungen&lt;&gt;"",IF(Tabelle1[[#This Row],[Startsaldo]]&lt;Rate,Tabelle1[[#This Row],[Startsaldo]],Rate),"")</f>
        <v>659.95573921665743</v>
      </c>
      <c r="F177" s="19"/>
      <c r="G177" s="13">
        <f>Tabelle1[[#This Row],[Planmässige Zahlung ]]+Tabelle1[[#This Row],[Sonderzahlung]]</f>
        <v>659.95573921665743</v>
      </c>
      <c r="H177" s="14">
        <f>Tabelle1[[#This Row],[Zahlung gesamt]]-Tabelle1[[#This Row],[Zinsleistung]]</f>
        <v>475.17823690191437</v>
      </c>
      <c r="I177" s="14">
        <f>IF(AnzahlZahlungen&lt;&gt;"",Tabelle1[[#This Row],[Startsaldo]]*Zinssatz/12,"")</f>
        <v>184.77750231474309</v>
      </c>
      <c r="J177" s="13">
        <f>IF(AnzahlZahlungen&lt;&gt;0,Tabelle1[[#This Row],[Startsaldo]]-Tabelle1[[#This Row],[Zahlung gesamt]],"")</f>
        <v>43686.644816321685</v>
      </c>
      <c r="K177" s="14">
        <f>K176+Tabelle1[[#This Row],[Zinsleistung]]</f>
        <v>50784.252071734918</v>
      </c>
    </row>
    <row r="178" spans="2:11" x14ac:dyDescent="0.25">
      <c r="B178" s="11">
        <f t="shared" si="5"/>
        <v>163</v>
      </c>
      <c r="C178" s="12">
        <f>IF((Startdatum),EOMONTH(C177,1))</f>
        <v>48213</v>
      </c>
      <c r="D178" s="13">
        <f t="shared" si="4"/>
        <v>43871.422318636432</v>
      </c>
      <c r="E178" s="14">
        <f>IF(AnzahlZahlungen&lt;&gt;"",IF(Tabelle1[[#This Row],[Startsaldo]]&lt;Rate,Tabelle1[[#This Row],[Startsaldo]],Rate),"")</f>
        <v>659.95573921665743</v>
      </c>
      <c r="F178" s="19"/>
      <c r="G178" s="13">
        <f>Tabelle1[[#This Row],[Planmässige Zahlung ]]+Tabelle1[[#This Row],[Sonderzahlung]]</f>
        <v>659.95573921665743</v>
      </c>
      <c r="H178" s="14">
        <f>Tabelle1[[#This Row],[Zahlung gesamt]]-Tabelle1[[#This Row],[Zinsleistung]]</f>
        <v>477.15814622233893</v>
      </c>
      <c r="I178" s="14">
        <f>IF(AnzahlZahlungen&lt;&gt;"",Tabelle1[[#This Row],[Startsaldo]]*Zinssatz/12,"")</f>
        <v>182.79759299431848</v>
      </c>
      <c r="J178" s="13">
        <f>IF(AnzahlZahlungen&lt;&gt;0,Tabelle1[[#This Row],[Startsaldo]]-Tabelle1[[#This Row],[Zahlung gesamt]],"")</f>
        <v>43211.466579419772</v>
      </c>
      <c r="K178" s="14">
        <f>K177+Tabelle1[[#This Row],[Zinsleistung]]</f>
        <v>50967.049664729238</v>
      </c>
    </row>
    <row r="179" spans="2:11" x14ac:dyDescent="0.25">
      <c r="B179" s="11">
        <f t="shared" si="5"/>
        <v>164</v>
      </c>
      <c r="C179" s="12">
        <f>IF((Startdatum),EOMONTH(C178,1))</f>
        <v>48244</v>
      </c>
      <c r="D179" s="13">
        <f t="shared" si="4"/>
        <v>43394.264172414092</v>
      </c>
      <c r="E179" s="14">
        <f>IF(AnzahlZahlungen&lt;&gt;"",IF(Tabelle1[[#This Row],[Startsaldo]]&lt;Rate,Tabelle1[[#This Row],[Startsaldo]],Rate),"")</f>
        <v>659.95573921665743</v>
      </c>
      <c r="F179" s="19"/>
      <c r="G179" s="13">
        <f>Tabelle1[[#This Row],[Planmässige Zahlung ]]+Tabelle1[[#This Row],[Sonderzahlung]]</f>
        <v>659.95573921665743</v>
      </c>
      <c r="H179" s="14">
        <f>Tabelle1[[#This Row],[Zahlung gesamt]]-Tabelle1[[#This Row],[Zinsleistung]]</f>
        <v>479.14630516493207</v>
      </c>
      <c r="I179" s="14">
        <f>IF(AnzahlZahlungen&lt;&gt;"",Tabelle1[[#This Row],[Startsaldo]]*Zinssatz/12,"")</f>
        <v>180.80943405172539</v>
      </c>
      <c r="J179" s="13">
        <f>IF(AnzahlZahlungen&lt;&gt;0,Tabelle1[[#This Row],[Startsaldo]]-Tabelle1[[#This Row],[Zahlung gesamt]],"")</f>
        <v>42734.308433197431</v>
      </c>
      <c r="K179" s="14">
        <f>K178+Tabelle1[[#This Row],[Zinsleistung]]</f>
        <v>51147.859098780966</v>
      </c>
    </row>
    <row r="180" spans="2:11" x14ac:dyDescent="0.25">
      <c r="B180" s="11">
        <f t="shared" si="5"/>
        <v>165</v>
      </c>
      <c r="C180" s="12">
        <f>IF((Startdatum),EOMONTH(C179,1))</f>
        <v>48273</v>
      </c>
      <c r="D180" s="13">
        <f t="shared" si="4"/>
        <v>42915.117867249159</v>
      </c>
      <c r="E180" s="14">
        <f>IF(AnzahlZahlungen&lt;&gt;"",IF(Tabelle1[[#This Row],[Startsaldo]]&lt;Rate,Tabelle1[[#This Row],[Startsaldo]],Rate),"")</f>
        <v>659.95573921665743</v>
      </c>
      <c r="F180" s="19"/>
      <c r="G180" s="13">
        <f>Tabelle1[[#This Row],[Planmässige Zahlung ]]+Tabelle1[[#This Row],[Sonderzahlung]]</f>
        <v>659.95573921665743</v>
      </c>
      <c r="H180" s="14">
        <f>Tabelle1[[#This Row],[Zahlung gesamt]]-Tabelle1[[#This Row],[Zinsleistung]]</f>
        <v>481.14274810311929</v>
      </c>
      <c r="I180" s="14">
        <f>IF(AnzahlZahlungen&lt;&gt;"",Tabelle1[[#This Row],[Startsaldo]]*Zinssatz/12,"")</f>
        <v>178.81299111353817</v>
      </c>
      <c r="J180" s="13">
        <f>IF(AnzahlZahlungen&lt;&gt;0,Tabelle1[[#This Row],[Startsaldo]]-Tabelle1[[#This Row],[Zahlung gesamt]],"")</f>
        <v>42255.162128032498</v>
      </c>
      <c r="K180" s="14">
        <f>K179+Tabelle1[[#This Row],[Zinsleistung]]</f>
        <v>51326.672089894506</v>
      </c>
    </row>
    <row r="181" spans="2:11" x14ac:dyDescent="0.25">
      <c r="B181" s="11">
        <f t="shared" si="5"/>
        <v>166</v>
      </c>
      <c r="C181" s="12">
        <f>IF((Startdatum),EOMONTH(C180,1))</f>
        <v>48304</v>
      </c>
      <c r="D181" s="13">
        <f t="shared" si="4"/>
        <v>42433.975119146038</v>
      </c>
      <c r="E181" s="14">
        <f>IF(AnzahlZahlungen&lt;&gt;"",IF(Tabelle1[[#This Row],[Startsaldo]]&lt;Rate,Tabelle1[[#This Row],[Startsaldo]],Rate),"")</f>
        <v>659.95573921665743</v>
      </c>
      <c r="F181" s="19"/>
      <c r="G181" s="13">
        <f>Tabelle1[[#This Row],[Planmässige Zahlung ]]+Tabelle1[[#This Row],[Sonderzahlung]]</f>
        <v>659.95573921665743</v>
      </c>
      <c r="H181" s="14">
        <f>Tabelle1[[#This Row],[Zahlung gesamt]]-Tabelle1[[#This Row],[Zinsleistung]]</f>
        <v>483.14750955354896</v>
      </c>
      <c r="I181" s="14">
        <f>IF(AnzahlZahlungen&lt;&gt;"",Tabelle1[[#This Row],[Startsaldo]]*Zinssatz/12,"")</f>
        <v>176.80822966310851</v>
      </c>
      <c r="J181" s="13">
        <f>IF(AnzahlZahlungen&lt;&gt;0,Tabelle1[[#This Row],[Startsaldo]]-Tabelle1[[#This Row],[Zahlung gesamt]],"")</f>
        <v>41774.019379929377</v>
      </c>
      <c r="K181" s="14">
        <f>K180+Tabelle1[[#This Row],[Zinsleistung]]</f>
        <v>51503.480319557617</v>
      </c>
    </row>
    <row r="182" spans="2:11" x14ac:dyDescent="0.25">
      <c r="B182" s="11">
        <f t="shared" si="5"/>
        <v>167</v>
      </c>
      <c r="C182" s="12">
        <f>IF((Startdatum),EOMONTH(C181,1))</f>
        <v>48334</v>
      </c>
      <c r="D182" s="13">
        <f t="shared" si="4"/>
        <v>41950.827609592488</v>
      </c>
      <c r="E182" s="14">
        <f>IF(AnzahlZahlungen&lt;&gt;"",IF(Tabelle1[[#This Row],[Startsaldo]]&lt;Rate,Tabelle1[[#This Row],[Startsaldo]],Rate),"")</f>
        <v>659.95573921665743</v>
      </c>
      <c r="F182" s="19"/>
      <c r="G182" s="13">
        <f>Tabelle1[[#This Row],[Planmässige Zahlung ]]+Tabelle1[[#This Row],[Sonderzahlung]]</f>
        <v>659.95573921665743</v>
      </c>
      <c r="H182" s="14">
        <f>Tabelle1[[#This Row],[Zahlung gesamt]]-Tabelle1[[#This Row],[Zinsleistung]]</f>
        <v>485.16062417668877</v>
      </c>
      <c r="I182" s="14">
        <f>IF(AnzahlZahlungen&lt;&gt;"",Tabelle1[[#This Row],[Startsaldo]]*Zinssatz/12,"")</f>
        <v>174.79511503996869</v>
      </c>
      <c r="J182" s="13">
        <f>IF(AnzahlZahlungen&lt;&gt;0,Tabelle1[[#This Row],[Startsaldo]]-Tabelle1[[#This Row],[Zahlung gesamt]],"")</f>
        <v>41290.871870375828</v>
      </c>
      <c r="K182" s="14">
        <f>K181+Tabelle1[[#This Row],[Zinsleistung]]</f>
        <v>51678.275434597585</v>
      </c>
    </row>
    <row r="183" spans="2:11" x14ac:dyDescent="0.25">
      <c r="B183" s="11">
        <f t="shared" si="5"/>
        <v>168</v>
      </c>
      <c r="C183" s="12">
        <f>IF((Startdatum),EOMONTH(C182,1))</f>
        <v>48365</v>
      </c>
      <c r="D183" s="13">
        <f t="shared" si="4"/>
        <v>41465.666985415803</v>
      </c>
      <c r="E183" s="14">
        <f>IF(AnzahlZahlungen&lt;&gt;"",IF(Tabelle1[[#This Row],[Startsaldo]]&lt;Rate,Tabelle1[[#This Row],[Startsaldo]],Rate),"")</f>
        <v>659.95573921665743</v>
      </c>
      <c r="F183" s="19"/>
      <c r="G183" s="13">
        <f>Tabelle1[[#This Row],[Planmässige Zahlung ]]+Tabelle1[[#This Row],[Sonderzahlung]]</f>
        <v>659.95573921665743</v>
      </c>
      <c r="H183" s="14">
        <f>Tabelle1[[#This Row],[Zahlung gesamt]]-Tabelle1[[#This Row],[Zinsleistung]]</f>
        <v>487.18212677742497</v>
      </c>
      <c r="I183" s="14">
        <f>IF(AnzahlZahlungen&lt;&gt;"",Tabelle1[[#This Row],[Startsaldo]]*Zinssatz/12,"")</f>
        <v>172.77361243923249</v>
      </c>
      <c r="J183" s="13">
        <f>IF(AnzahlZahlungen&lt;&gt;0,Tabelle1[[#This Row],[Startsaldo]]-Tabelle1[[#This Row],[Zahlung gesamt]],"")</f>
        <v>40805.711246199142</v>
      </c>
      <c r="K183" s="14">
        <f>K182+Tabelle1[[#This Row],[Zinsleistung]]</f>
        <v>51851.049047036817</v>
      </c>
    </row>
    <row r="184" spans="2:11" x14ac:dyDescent="0.25">
      <c r="B184" s="11">
        <f t="shared" si="5"/>
        <v>169</v>
      </c>
      <c r="C184" s="12">
        <f>IF((Startdatum),EOMONTH(C183,1))</f>
        <v>48395</v>
      </c>
      <c r="D184" s="13">
        <f t="shared" si="4"/>
        <v>40978.484858638374</v>
      </c>
      <c r="E184" s="14">
        <f>IF(AnzahlZahlungen&lt;&gt;"",IF(Tabelle1[[#This Row],[Startsaldo]]&lt;Rate,Tabelle1[[#This Row],[Startsaldo]],Rate),"")</f>
        <v>659.95573921665743</v>
      </c>
      <c r="F184" s="19"/>
      <c r="G184" s="13">
        <f>Tabelle1[[#This Row],[Planmässige Zahlung ]]+Tabelle1[[#This Row],[Sonderzahlung]]</f>
        <v>659.95573921665743</v>
      </c>
      <c r="H184" s="14">
        <f>Tabelle1[[#This Row],[Zahlung gesamt]]-Tabelle1[[#This Row],[Zinsleistung]]</f>
        <v>489.2120523056642</v>
      </c>
      <c r="I184" s="14">
        <f>IF(AnzahlZahlungen&lt;&gt;"",Tabelle1[[#This Row],[Startsaldo]]*Zinssatz/12,"")</f>
        <v>170.74368691099323</v>
      </c>
      <c r="J184" s="13">
        <f>IF(AnzahlZahlungen&lt;&gt;0,Tabelle1[[#This Row],[Startsaldo]]-Tabelle1[[#This Row],[Zahlung gesamt]],"")</f>
        <v>40318.529119421713</v>
      </c>
      <c r="K184" s="14">
        <f>K183+Tabelle1[[#This Row],[Zinsleistung]]</f>
        <v>52021.792733947812</v>
      </c>
    </row>
    <row r="185" spans="2:11" x14ac:dyDescent="0.25">
      <c r="B185" s="11">
        <f t="shared" si="5"/>
        <v>170</v>
      </c>
      <c r="C185" s="12">
        <f>IF((Startdatum),EOMONTH(C184,1))</f>
        <v>48426</v>
      </c>
      <c r="D185" s="13">
        <f t="shared" si="4"/>
        <v>40489.272806332709</v>
      </c>
      <c r="E185" s="14">
        <f>IF(AnzahlZahlungen&lt;&gt;"",IF(Tabelle1[[#This Row],[Startsaldo]]&lt;Rate,Tabelle1[[#This Row],[Startsaldo]],Rate),"")</f>
        <v>659.95573921665743</v>
      </c>
      <c r="F185" s="19"/>
      <c r="G185" s="13">
        <f>Tabelle1[[#This Row],[Planmässige Zahlung ]]+Tabelle1[[#This Row],[Sonderzahlung]]</f>
        <v>659.95573921665743</v>
      </c>
      <c r="H185" s="14">
        <f>Tabelle1[[#This Row],[Zahlung gesamt]]-Tabelle1[[#This Row],[Zinsleistung]]</f>
        <v>491.25043585693777</v>
      </c>
      <c r="I185" s="14">
        <f>IF(AnzahlZahlungen&lt;&gt;"",Tabelle1[[#This Row],[Startsaldo]]*Zinssatz/12,"")</f>
        <v>168.70530335971964</v>
      </c>
      <c r="J185" s="13">
        <f>IF(AnzahlZahlungen&lt;&gt;0,Tabelle1[[#This Row],[Startsaldo]]-Tabelle1[[#This Row],[Zahlung gesamt]],"")</f>
        <v>39829.317067116048</v>
      </c>
      <c r="K185" s="14">
        <f>K184+Tabelle1[[#This Row],[Zinsleistung]]</f>
        <v>52190.49803730753</v>
      </c>
    </row>
    <row r="186" spans="2:11" x14ac:dyDescent="0.25">
      <c r="B186" s="11">
        <f t="shared" si="5"/>
        <v>171</v>
      </c>
      <c r="C186" s="12">
        <f>IF((Startdatum),EOMONTH(C185,1))</f>
        <v>48457</v>
      </c>
      <c r="D186" s="13">
        <f t="shared" si="4"/>
        <v>39998.022370475774</v>
      </c>
      <c r="E186" s="14">
        <f>IF(AnzahlZahlungen&lt;&gt;"",IF(Tabelle1[[#This Row],[Startsaldo]]&lt;Rate,Tabelle1[[#This Row],[Startsaldo]],Rate),"")</f>
        <v>659.95573921665743</v>
      </c>
      <c r="F186" s="19"/>
      <c r="G186" s="13">
        <f>Tabelle1[[#This Row],[Planmässige Zahlung ]]+Tabelle1[[#This Row],[Sonderzahlung]]</f>
        <v>659.95573921665743</v>
      </c>
      <c r="H186" s="14">
        <f>Tabelle1[[#This Row],[Zahlung gesamt]]-Tabelle1[[#This Row],[Zinsleistung]]</f>
        <v>493.29731267300838</v>
      </c>
      <c r="I186" s="14">
        <f>IF(AnzahlZahlungen&lt;&gt;"",Tabelle1[[#This Row],[Startsaldo]]*Zinssatz/12,"")</f>
        <v>166.65842654364906</v>
      </c>
      <c r="J186" s="13">
        <f>IF(AnzahlZahlungen&lt;&gt;0,Tabelle1[[#This Row],[Startsaldo]]-Tabelle1[[#This Row],[Zahlung gesamt]],"")</f>
        <v>39338.066631259113</v>
      </c>
      <c r="K186" s="14">
        <f>K185+Tabelle1[[#This Row],[Zinsleistung]]</f>
        <v>52357.156463851177</v>
      </c>
    </row>
    <row r="187" spans="2:11" x14ac:dyDescent="0.25">
      <c r="B187" s="11">
        <f t="shared" si="5"/>
        <v>172</v>
      </c>
      <c r="C187" s="12">
        <f>IF((Startdatum),EOMONTH(C186,1))</f>
        <v>48487</v>
      </c>
      <c r="D187" s="13">
        <f t="shared" si="4"/>
        <v>39504.725057802767</v>
      </c>
      <c r="E187" s="14">
        <f>IF(AnzahlZahlungen&lt;&gt;"",IF(Tabelle1[[#This Row],[Startsaldo]]&lt;Rate,Tabelle1[[#This Row],[Startsaldo]],Rate),"")</f>
        <v>659.95573921665743</v>
      </c>
      <c r="F187" s="19"/>
      <c r="G187" s="13">
        <f>Tabelle1[[#This Row],[Planmässige Zahlung ]]+Tabelle1[[#This Row],[Sonderzahlung]]</f>
        <v>659.95573921665743</v>
      </c>
      <c r="H187" s="14">
        <f>Tabelle1[[#This Row],[Zahlung gesamt]]-Tabelle1[[#This Row],[Zinsleistung]]</f>
        <v>495.35271814247926</v>
      </c>
      <c r="I187" s="14">
        <f>IF(AnzahlZahlungen&lt;&gt;"",Tabelle1[[#This Row],[Startsaldo]]*Zinssatz/12,"")</f>
        <v>164.6030210741782</v>
      </c>
      <c r="J187" s="13">
        <f>IF(AnzahlZahlungen&lt;&gt;0,Tabelle1[[#This Row],[Startsaldo]]-Tabelle1[[#This Row],[Zahlung gesamt]],"")</f>
        <v>38844.769318586106</v>
      </c>
      <c r="K187" s="14">
        <f>K186+Tabelle1[[#This Row],[Zinsleistung]]</f>
        <v>52521.759484925358</v>
      </c>
    </row>
    <row r="188" spans="2:11" x14ac:dyDescent="0.25">
      <c r="B188" s="11">
        <f t="shared" si="5"/>
        <v>173</v>
      </c>
      <c r="C188" s="12">
        <f>IF((Startdatum),EOMONTH(C187,1))</f>
        <v>48518</v>
      </c>
      <c r="D188" s="13">
        <f t="shared" si="4"/>
        <v>39009.372339660287</v>
      </c>
      <c r="E188" s="14">
        <f>IF(AnzahlZahlungen&lt;&gt;"",IF(Tabelle1[[#This Row],[Startsaldo]]&lt;Rate,Tabelle1[[#This Row],[Startsaldo]],Rate),"")</f>
        <v>659.95573921665743</v>
      </c>
      <c r="F188" s="19"/>
      <c r="G188" s="13">
        <f>Tabelle1[[#This Row],[Planmässige Zahlung ]]+Tabelle1[[#This Row],[Sonderzahlung]]</f>
        <v>659.95573921665743</v>
      </c>
      <c r="H188" s="14">
        <f>Tabelle1[[#This Row],[Zahlung gesamt]]-Tabelle1[[#This Row],[Zinsleistung]]</f>
        <v>497.41668780140623</v>
      </c>
      <c r="I188" s="14">
        <f>IF(AnzahlZahlungen&lt;&gt;"",Tabelle1[[#This Row],[Startsaldo]]*Zinssatz/12,"")</f>
        <v>162.53905141525121</v>
      </c>
      <c r="J188" s="13">
        <f>IF(AnzahlZahlungen&lt;&gt;0,Tabelle1[[#This Row],[Startsaldo]]-Tabelle1[[#This Row],[Zahlung gesamt]],"")</f>
        <v>38349.416600443627</v>
      </c>
      <c r="K188" s="14">
        <f>K187+Tabelle1[[#This Row],[Zinsleistung]]</f>
        <v>52684.298536340611</v>
      </c>
    </row>
    <row r="189" spans="2:11" x14ac:dyDescent="0.25">
      <c r="B189" s="11">
        <f t="shared" si="5"/>
        <v>174</v>
      </c>
      <c r="C189" s="12">
        <f>IF((Startdatum),EOMONTH(C188,1))</f>
        <v>48548</v>
      </c>
      <c r="D189" s="13">
        <f t="shared" si="4"/>
        <v>38511.95565185888</v>
      </c>
      <c r="E189" s="14">
        <f>IF(AnzahlZahlungen&lt;&gt;"",IF(Tabelle1[[#This Row],[Startsaldo]]&lt;Rate,Tabelle1[[#This Row],[Startsaldo]],Rate),"")</f>
        <v>659.95573921665743</v>
      </c>
      <c r="F189" s="19"/>
      <c r="G189" s="13">
        <f>Tabelle1[[#This Row],[Planmässige Zahlung ]]+Tabelle1[[#This Row],[Sonderzahlung]]</f>
        <v>659.95573921665743</v>
      </c>
      <c r="H189" s="14">
        <f>Tabelle1[[#This Row],[Zahlung gesamt]]-Tabelle1[[#This Row],[Zinsleistung]]</f>
        <v>499.48925733391206</v>
      </c>
      <c r="I189" s="14">
        <f>IF(AnzahlZahlungen&lt;&gt;"",Tabelle1[[#This Row],[Startsaldo]]*Zinssatz/12,"")</f>
        <v>160.46648188274534</v>
      </c>
      <c r="J189" s="13">
        <f>IF(AnzahlZahlungen&lt;&gt;0,Tabelle1[[#This Row],[Startsaldo]]-Tabelle1[[#This Row],[Zahlung gesamt]],"")</f>
        <v>37851.999912642219</v>
      </c>
      <c r="K189" s="14">
        <f>K188+Tabelle1[[#This Row],[Zinsleistung]]</f>
        <v>52844.765018223356</v>
      </c>
    </row>
    <row r="190" spans="2:11" x14ac:dyDescent="0.25">
      <c r="B190" s="11">
        <f t="shared" si="5"/>
        <v>175</v>
      </c>
      <c r="C190" s="12">
        <f>IF((Startdatum),EOMONTH(C189,1))</f>
        <v>48579</v>
      </c>
      <c r="D190" s="13">
        <f t="shared" si="4"/>
        <v>38012.46639452497</v>
      </c>
      <c r="E190" s="14">
        <f>IF(AnzahlZahlungen&lt;&gt;"",IF(Tabelle1[[#This Row],[Startsaldo]]&lt;Rate,Tabelle1[[#This Row],[Startsaldo]],Rate),"")</f>
        <v>659.95573921665743</v>
      </c>
      <c r="F190" s="19"/>
      <c r="G190" s="13">
        <f>Tabelle1[[#This Row],[Planmässige Zahlung ]]+Tabelle1[[#This Row],[Sonderzahlung]]</f>
        <v>659.95573921665743</v>
      </c>
      <c r="H190" s="14">
        <f>Tabelle1[[#This Row],[Zahlung gesamt]]-Tabelle1[[#This Row],[Zinsleistung]]</f>
        <v>501.57046257280342</v>
      </c>
      <c r="I190" s="14">
        <f>IF(AnzahlZahlungen&lt;&gt;"",Tabelle1[[#This Row],[Startsaldo]]*Zinssatz/12,"")</f>
        <v>158.38527664385404</v>
      </c>
      <c r="J190" s="13">
        <f>IF(AnzahlZahlungen&lt;&gt;0,Tabelle1[[#This Row],[Startsaldo]]-Tabelle1[[#This Row],[Zahlung gesamt]],"")</f>
        <v>37352.51065530831</v>
      </c>
      <c r="K190" s="14">
        <f>K189+Tabelle1[[#This Row],[Zinsleistung]]</f>
        <v>53003.150294867213</v>
      </c>
    </row>
    <row r="191" spans="2:11" x14ac:dyDescent="0.25">
      <c r="B191" s="11">
        <f t="shared" si="5"/>
        <v>176</v>
      </c>
      <c r="C191" s="12">
        <f>IF((Startdatum),EOMONTH(C190,1))</f>
        <v>48610</v>
      </c>
      <c r="D191" s="13">
        <f t="shared" si="4"/>
        <v>37510.895931952167</v>
      </c>
      <c r="E191" s="14">
        <f>IF(AnzahlZahlungen&lt;&gt;"",IF(Tabelle1[[#This Row],[Startsaldo]]&lt;Rate,Tabelle1[[#This Row],[Startsaldo]],Rate),"")</f>
        <v>659.95573921665743</v>
      </c>
      <c r="F191" s="19"/>
      <c r="G191" s="13">
        <f>Tabelle1[[#This Row],[Planmässige Zahlung ]]+Tabelle1[[#This Row],[Sonderzahlung]]</f>
        <v>659.95573921665743</v>
      </c>
      <c r="H191" s="14">
        <f>Tabelle1[[#This Row],[Zahlung gesamt]]-Tabelle1[[#This Row],[Zinsleistung]]</f>
        <v>503.66033950019005</v>
      </c>
      <c r="I191" s="14">
        <f>IF(AnzahlZahlungen&lt;&gt;"",Tabelle1[[#This Row],[Startsaldo]]*Zinssatz/12,"")</f>
        <v>156.29539971646736</v>
      </c>
      <c r="J191" s="13">
        <f>IF(AnzahlZahlungen&lt;&gt;0,Tabelle1[[#This Row],[Startsaldo]]-Tabelle1[[#This Row],[Zahlung gesamt]],"")</f>
        <v>36850.940192735507</v>
      </c>
      <c r="K191" s="14">
        <f>K190+Tabelle1[[#This Row],[Zinsleistung]]</f>
        <v>53159.445694583679</v>
      </c>
    </row>
    <row r="192" spans="2:11" x14ac:dyDescent="0.25">
      <c r="B192" s="11">
        <f t="shared" si="5"/>
        <v>177</v>
      </c>
      <c r="C192" s="12">
        <f>IF((Startdatum),EOMONTH(C191,1))</f>
        <v>48638</v>
      </c>
      <c r="D192" s="13">
        <f t="shared" si="4"/>
        <v>37007.23559245198</v>
      </c>
      <c r="E192" s="14">
        <f>IF(AnzahlZahlungen&lt;&gt;"",IF(Tabelle1[[#This Row],[Startsaldo]]&lt;Rate,Tabelle1[[#This Row],[Startsaldo]],Rate),"")</f>
        <v>659.95573921665743</v>
      </c>
      <c r="F192" s="19"/>
      <c r="G192" s="13">
        <f>Tabelle1[[#This Row],[Planmässige Zahlung ]]+Tabelle1[[#This Row],[Sonderzahlung]]</f>
        <v>659.95573921665743</v>
      </c>
      <c r="H192" s="14">
        <f>Tabelle1[[#This Row],[Zahlung gesamt]]-Tabelle1[[#This Row],[Zinsleistung]]</f>
        <v>505.75892424810752</v>
      </c>
      <c r="I192" s="14">
        <f>IF(AnzahlZahlungen&lt;&gt;"",Tabelle1[[#This Row],[Startsaldo]]*Zinssatz/12,"")</f>
        <v>154.19681496854992</v>
      </c>
      <c r="J192" s="13">
        <f>IF(AnzahlZahlungen&lt;&gt;0,Tabelle1[[#This Row],[Startsaldo]]-Tabelle1[[#This Row],[Zahlung gesamt]],"")</f>
        <v>36347.279853235319</v>
      </c>
      <c r="K192" s="14">
        <f>K191+Tabelle1[[#This Row],[Zinsleistung]]</f>
        <v>53313.642509552228</v>
      </c>
    </row>
    <row r="193" spans="2:11" x14ac:dyDescent="0.25">
      <c r="B193" s="11">
        <f t="shared" si="5"/>
        <v>178</v>
      </c>
      <c r="C193" s="12">
        <f>IF((Startdatum),EOMONTH(C192,1))</f>
        <v>48669</v>
      </c>
      <c r="D193" s="13">
        <f t="shared" si="4"/>
        <v>36501.476668203875</v>
      </c>
      <c r="E193" s="14">
        <f>IF(AnzahlZahlungen&lt;&gt;"",IF(Tabelle1[[#This Row],[Startsaldo]]&lt;Rate,Tabelle1[[#This Row],[Startsaldo]],Rate),"")</f>
        <v>659.95573921665743</v>
      </c>
      <c r="F193" s="19"/>
      <c r="G193" s="13">
        <f>Tabelle1[[#This Row],[Planmässige Zahlung ]]+Tabelle1[[#This Row],[Sonderzahlung]]</f>
        <v>659.95573921665743</v>
      </c>
      <c r="H193" s="14">
        <f>Tabelle1[[#This Row],[Zahlung gesamt]]-Tabelle1[[#This Row],[Zinsleistung]]</f>
        <v>507.86625309914132</v>
      </c>
      <c r="I193" s="14">
        <f>IF(AnzahlZahlungen&lt;&gt;"",Tabelle1[[#This Row],[Startsaldo]]*Zinssatz/12,"")</f>
        <v>152.08948611751615</v>
      </c>
      <c r="J193" s="13">
        <f>IF(AnzahlZahlungen&lt;&gt;0,Tabelle1[[#This Row],[Startsaldo]]-Tabelle1[[#This Row],[Zahlung gesamt]],"")</f>
        <v>35841.520928987215</v>
      </c>
      <c r="K193" s="14">
        <f>K192+Tabelle1[[#This Row],[Zinsleistung]]</f>
        <v>53465.731995669747</v>
      </c>
    </row>
    <row r="194" spans="2:11" x14ac:dyDescent="0.25">
      <c r="B194" s="11">
        <f t="shared" si="5"/>
        <v>179</v>
      </c>
      <c r="C194" s="12">
        <f>IF((Startdatum),EOMONTH(C193,1))</f>
        <v>48699</v>
      </c>
      <c r="D194" s="13">
        <f t="shared" si="4"/>
        <v>35993.610415104733</v>
      </c>
      <c r="E194" s="14">
        <f>IF(AnzahlZahlungen&lt;&gt;"",IF(Tabelle1[[#This Row],[Startsaldo]]&lt;Rate,Tabelle1[[#This Row],[Startsaldo]],Rate),"")</f>
        <v>659.95573921665743</v>
      </c>
      <c r="F194" s="19"/>
      <c r="G194" s="13">
        <f>Tabelle1[[#This Row],[Planmässige Zahlung ]]+Tabelle1[[#This Row],[Sonderzahlung]]</f>
        <v>659.95573921665743</v>
      </c>
      <c r="H194" s="14">
        <f>Tabelle1[[#This Row],[Zahlung gesamt]]-Tabelle1[[#This Row],[Zinsleistung]]</f>
        <v>509.98236248705439</v>
      </c>
      <c r="I194" s="14">
        <f>IF(AnzahlZahlungen&lt;&gt;"",Tabelle1[[#This Row],[Startsaldo]]*Zinssatz/12,"")</f>
        <v>149.97337672960307</v>
      </c>
      <c r="J194" s="13">
        <f>IF(AnzahlZahlungen&lt;&gt;0,Tabelle1[[#This Row],[Startsaldo]]-Tabelle1[[#This Row],[Zahlung gesamt]],"")</f>
        <v>35333.654675888072</v>
      </c>
      <c r="K194" s="14">
        <f>K193+Tabelle1[[#This Row],[Zinsleistung]]</f>
        <v>53615.705372399352</v>
      </c>
    </row>
    <row r="195" spans="2:11" x14ac:dyDescent="0.25">
      <c r="B195" s="11">
        <f t="shared" si="5"/>
        <v>180</v>
      </c>
      <c r="C195" s="12">
        <f>IF((Startdatum),EOMONTH(C194,1))</f>
        <v>48730</v>
      </c>
      <c r="D195" s="13">
        <f t="shared" si="4"/>
        <v>35483.628052617678</v>
      </c>
      <c r="E195" s="14">
        <f>IF(AnzahlZahlungen&lt;&gt;"",IF(Tabelle1[[#This Row],[Startsaldo]]&lt;Rate,Tabelle1[[#This Row],[Startsaldo]],Rate),"")</f>
        <v>659.95573921665743</v>
      </c>
      <c r="F195" s="19"/>
      <c r="G195" s="13">
        <f>Tabelle1[[#This Row],[Planmässige Zahlung ]]+Tabelle1[[#This Row],[Sonderzahlung]]</f>
        <v>659.95573921665743</v>
      </c>
      <c r="H195" s="14">
        <f>Tabelle1[[#This Row],[Zahlung gesamt]]-Tabelle1[[#This Row],[Zinsleistung]]</f>
        <v>512.10728899741707</v>
      </c>
      <c r="I195" s="14">
        <f>IF(AnzahlZahlungen&lt;&gt;"",Tabelle1[[#This Row],[Startsaldo]]*Zinssatz/12,"")</f>
        <v>147.84845021924033</v>
      </c>
      <c r="J195" s="13">
        <f>IF(AnzahlZahlungen&lt;&gt;0,Tabelle1[[#This Row],[Startsaldo]]-Tabelle1[[#This Row],[Zahlung gesamt]],"")</f>
        <v>34823.672313401017</v>
      </c>
      <c r="K195" s="14">
        <f>K194+Tabelle1[[#This Row],[Zinsleistung]]</f>
        <v>53763.553822618589</v>
      </c>
    </row>
    <row r="196" spans="2:11" x14ac:dyDescent="0.25">
      <c r="B196" s="11">
        <f t="shared" si="5"/>
        <v>181</v>
      </c>
      <c r="C196" s="12">
        <f>IF((Startdatum),EOMONTH(C195,1))</f>
        <v>48760</v>
      </c>
      <c r="D196" s="13">
        <f t="shared" si="4"/>
        <v>34971.520763620261</v>
      </c>
      <c r="E196" s="14">
        <f>IF(AnzahlZahlungen&lt;&gt;"",IF(Tabelle1[[#This Row],[Startsaldo]]&lt;Rate,Tabelle1[[#This Row],[Startsaldo]],Rate),"")</f>
        <v>659.95573921665743</v>
      </c>
      <c r="F196" s="19"/>
      <c r="G196" s="13">
        <f>Tabelle1[[#This Row],[Planmässige Zahlung ]]+Tabelle1[[#This Row],[Sonderzahlung]]</f>
        <v>659.95573921665743</v>
      </c>
      <c r="H196" s="14">
        <f>Tabelle1[[#This Row],[Zahlung gesamt]]-Tabelle1[[#This Row],[Zinsleistung]]</f>
        <v>514.24106936823966</v>
      </c>
      <c r="I196" s="14">
        <f>IF(AnzahlZahlungen&lt;&gt;"",Tabelle1[[#This Row],[Startsaldo]]*Zinssatz/12,"")</f>
        <v>145.71466984841777</v>
      </c>
      <c r="J196" s="13">
        <f>IF(AnzahlZahlungen&lt;&gt;0,Tabelle1[[#This Row],[Startsaldo]]-Tabelle1[[#This Row],[Zahlung gesamt]],"")</f>
        <v>34311.565024403601</v>
      </c>
      <c r="K196" s="14">
        <f>K195+Tabelle1[[#This Row],[Zinsleistung]]</f>
        <v>53909.26849246701</v>
      </c>
    </row>
    <row r="197" spans="2:11" x14ac:dyDescent="0.25">
      <c r="B197" s="11">
        <f t="shared" si="5"/>
        <v>182</v>
      </c>
      <c r="C197" s="12">
        <f>IF((Startdatum),EOMONTH(C196,1))</f>
        <v>48791</v>
      </c>
      <c r="D197" s="13">
        <f t="shared" si="4"/>
        <v>34457.279694252022</v>
      </c>
      <c r="E197" s="14">
        <f>IF(AnzahlZahlungen&lt;&gt;"",IF(Tabelle1[[#This Row],[Startsaldo]]&lt;Rate,Tabelle1[[#This Row],[Startsaldo]],Rate),"")</f>
        <v>659.95573921665743</v>
      </c>
      <c r="F197" s="19"/>
      <c r="G197" s="13">
        <f>Tabelle1[[#This Row],[Planmässige Zahlung ]]+Tabelle1[[#This Row],[Sonderzahlung]]</f>
        <v>659.95573921665743</v>
      </c>
      <c r="H197" s="14">
        <f>Tabelle1[[#This Row],[Zahlung gesamt]]-Tabelle1[[#This Row],[Zinsleistung]]</f>
        <v>516.38374049060735</v>
      </c>
      <c r="I197" s="14">
        <f>IF(AnzahlZahlungen&lt;&gt;"",Tabelle1[[#This Row],[Startsaldo]]*Zinssatz/12,"")</f>
        <v>143.57199872605011</v>
      </c>
      <c r="J197" s="13">
        <f>IF(AnzahlZahlungen&lt;&gt;0,Tabelle1[[#This Row],[Startsaldo]]-Tabelle1[[#This Row],[Zahlung gesamt]],"")</f>
        <v>33797.323955035361</v>
      </c>
      <c r="K197" s="14">
        <f>K196+Tabelle1[[#This Row],[Zinsleistung]]</f>
        <v>54052.840491193063</v>
      </c>
    </row>
    <row r="198" spans="2:11" x14ac:dyDescent="0.25">
      <c r="B198" s="11">
        <f t="shared" si="5"/>
        <v>183</v>
      </c>
      <c r="C198" s="12">
        <f>IF((Startdatum),EOMONTH(C197,1))</f>
        <v>48822</v>
      </c>
      <c r="D198" s="13">
        <f t="shared" si="4"/>
        <v>33940.895953761414</v>
      </c>
      <c r="E198" s="14">
        <f>IF(AnzahlZahlungen&lt;&gt;"",IF(Tabelle1[[#This Row],[Startsaldo]]&lt;Rate,Tabelle1[[#This Row],[Startsaldo]],Rate),"")</f>
        <v>659.95573921665743</v>
      </c>
      <c r="F198" s="19"/>
      <c r="G198" s="13">
        <f>Tabelle1[[#This Row],[Planmässige Zahlung ]]+Tabelle1[[#This Row],[Sonderzahlung]]</f>
        <v>659.95573921665743</v>
      </c>
      <c r="H198" s="14">
        <f>Tabelle1[[#This Row],[Zahlung gesamt]]-Tabelle1[[#This Row],[Zinsleistung]]</f>
        <v>518.53533940931823</v>
      </c>
      <c r="I198" s="14">
        <f>IF(AnzahlZahlungen&lt;&gt;"",Tabelle1[[#This Row],[Startsaldo]]*Zinssatz/12,"")</f>
        <v>141.42039980733924</v>
      </c>
      <c r="J198" s="13">
        <f>IF(AnzahlZahlungen&lt;&gt;0,Tabelle1[[#This Row],[Startsaldo]]-Tabelle1[[#This Row],[Zahlung gesamt]],"")</f>
        <v>33280.940214544753</v>
      </c>
      <c r="K198" s="14">
        <f>K197+Tabelle1[[#This Row],[Zinsleistung]]</f>
        <v>54194.260891000406</v>
      </c>
    </row>
    <row r="199" spans="2:11" x14ac:dyDescent="0.25">
      <c r="B199" s="11">
        <f t="shared" si="5"/>
        <v>184</v>
      </c>
      <c r="C199" s="12">
        <f>IF((Startdatum),EOMONTH(C198,1))</f>
        <v>48852</v>
      </c>
      <c r="D199" s="13">
        <f t="shared" si="4"/>
        <v>33422.360614352096</v>
      </c>
      <c r="E199" s="14">
        <f>IF(AnzahlZahlungen&lt;&gt;"",IF(Tabelle1[[#This Row],[Startsaldo]]&lt;Rate,Tabelle1[[#This Row],[Startsaldo]],Rate),"")</f>
        <v>659.95573921665743</v>
      </c>
      <c r="F199" s="19"/>
      <c r="G199" s="13">
        <f>Tabelle1[[#This Row],[Planmässige Zahlung ]]+Tabelle1[[#This Row],[Sonderzahlung]]</f>
        <v>659.95573921665743</v>
      </c>
      <c r="H199" s="14">
        <f>Tabelle1[[#This Row],[Zahlung gesamt]]-Tabelle1[[#This Row],[Zinsleistung]]</f>
        <v>520.69590332352368</v>
      </c>
      <c r="I199" s="14">
        <f>IF(AnzahlZahlungen&lt;&gt;"",Tabelle1[[#This Row],[Startsaldo]]*Zinssatz/12,"")</f>
        <v>139.25983589313373</v>
      </c>
      <c r="J199" s="13">
        <f>IF(AnzahlZahlungen&lt;&gt;0,Tabelle1[[#This Row],[Startsaldo]]-Tabelle1[[#This Row],[Zahlung gesamt]],"")</f>
        <v>32762.404875135438</v>
      </c>
      <c r="K199" s="14">
        <f>K198+Tabelle1[[#This Row],[Zinsleistung]]</f>
        <v>54333.520726893541</v>
      </c>
    </row>
    <row r="200" spans="2:11" x14ac:dyDescent="0.25">
      <c r="B200" s="11">
        <f t="shared" si="5"/>
        <v>185</v>
      </c>
      <c r="C200" s="12">
        <f>IF((Startdatum),EOMONTH(C199,1))</f>
        <v>48883</v>
      </c>
      <c r="D200" s="13">
        <f t="shared" si="4"/>
        <v>32901.66471102857</v>
      </c>
      <c r="E200" s="14">
        <f>IF(AnzahlZahlungen&lt;&gt;"",IF(Tabelle1[[#This Row],[Startsaldo]]&lt;Rate,Tabelle1[[#This Row],[Startsaldo]],Rate),"")</f>
        <v>659.95573921665743</v>
      </c>
      <c r="F200" s="19"/>
      <c r="G200" s="13">
        <f>Tabelle1[[#This Row],[Planmässige Zahlung ]]+Tabelle1[[#This Row],[Sonderzahlung]]</f>
        <v>659.95573921665743</v>
      </c>
      <c r="H200" s="14">
        <f>Tabelle1[[#This Row],[Zahlung gesamt]]-Tabelle1[[#This Row],[Zinsleistung]]</f>
        <v>522.86546958737176</v>
      </c>
      <c r="I200" s="14">
        <f>IF(AnzahlZahlungen&lt;&gt;"",Tabelle1[[#This Row],[Startsaldo]]*Zinssatz/12,"")</f>
        <v>137.0902696292857</v>
      </c>
      <c r="J200" s="13">
        <f>IF(AnzahlZahlungen&lt;&gt;0,Tabelle1[[#This Row],[Startsaldo]]-Tabelle1[[#This Row],[Zahlung gesamt]],"")</f>
        <v>32241.708971811913</v>
      </c>
      <c r="K200" s="14">
        <f>K199+Tabelle1[[#This Row],[Zinsleistung]]</f>
        <v>54470.610996522824</v>
      </c>
    </row>
    <row r="201" spans="2:11" x14ac:dyDescent="0.25">
      <c r="B201" s="11">
        <f t="shared" si="5"/>
        <v>186</v>
      </c>
      <c r="C201" s="12">
        <f>IF((Startdatum),EOMONTH(C200,1))</f>
        <v>48913</v>
      </c>
      <c r="D201" s="13">
        <f t="shared" si="4"/>
        <v>32378.7992414412</v>
      </c>
      <c r="E201" s="14">
        <f>IF(AnzahlZahlungen&lt;&gt;"",IF(Tabelle1[[#This Row],[Startsaldo]]&lt;Rate,Tabelle1[[#This Row],[Startsaldo]],Rate),"")</f>
        <v>659.95573921665743</v>
      </c>
      <c r="F201" s="19"/>
      <c r="G201" s="13">
        <f>Tabelle1[[#This Row],[Planmässige Zahlung ]]+Tabelle1[[#This Row],[Sonderzahlung]]</f>
        <v>659.95573921665743</v>
      </c>
      <c r="H201" s="14">
        <f>Tabelle1[[#This Row],[Zahlung gesamt]]-Tabelle1[[#This Row],[Zinsleistung]]</f>
        <v>525.04407571065246</v>
      </c>
      <c r="I201" s="14">
        <f>IF(AnzahlZahlungen&lt;&gt;"",Tabelle1[[#This Row],[Startsaldo]]*Zinssatz/12,"")</f>
        <v>134.911663506005</v>
      </c>
      <c r="J201" s="13">
        <f>IF(AnzahlZahlungen&lt;&gt;0,Tabelle1[[#This Row],[Startsaldo]]-Tabelle1[[#This Row],[Zahlung gesamt]],"")</f>
        <v>31718.843502224543</v>
      </c>
      <c r="K201" s="14">
        <f>K200+Tabelle1[[#This Row],[Zinsleistung]]</f>
        <v>54605.52266002883</v>
      </c>
    </row>
    <row r="202" spans="2:11" x14ac:dyDescent="0.25">
      <c r="B202" s="11">
        <f t="shared" si="5"/>
        <v>187</v>
      </c>
      <c r="C202" s="12">
        <f>IF((Startdatum),EOMONTH(C201,1))</f>
        <v>48944</v>
      </c>
      <c r="D202" s="13">
        <f t="shared" si="4"/>
        <v>31853.755165730548</v>
      </c>
      <c r="E202" s="14">
        <f>IF(AnzahlZahlungen&lt;&gt;"",IF(Tabelle1[[#This Row],[Startsaldo]]&lt;Rate,Tabelle1[[#This Row],[Startsaldo]],Rate),"")</f>
        <v>659.95573921665743</v>
      </c>
      <c r="F202" s="19"/>
      <c r="G202" s="13">
        <f>Tabelle1[[#This Row],[Planmässige Zahlung ]]+Tabelle1[[#This Row],[Sonderzahlung]]</f>
        <v>659.95573921665743</v>
      </c>
      <c r="H202" s="14">
        <f>Tabelle1[[#This Row],[Zahlung gesamt]]-Tabelle1[[#This Row],[Zinsleistung]]</f>
        <v>527.23175935944687</v>
      </c>
      <c r="I202" s="14">
        <f>IF(AnzahlZahlungen&lt;&gt;"",Tabelle1[[#This Row],[Startsaldo]]*Zinssatz/12,"")</f>
        <v>132.72397985721062</v>
      </c>
      <c r="J202" s="13">
        <f>IF(AnzahlZahlungen&lt;&gt;0,Tabelle1[[#This Row],[Startsaldo]]-Tabelle1[[#This Row],[Zahlung gesamt]],"")</f>
        <v>31193.799426513891</v>
      </c>
      <c r="K202" s="14">
        <f>K201+Tabelle1[[#This Row],[Zinsleistung]]</f>
        <v>54738.246639886042</v>
      </c>
    </row>
    <row r="203" spans="2:11" x14ac:dyDescent="0.25">
      <c r="B203" s="11">
        <f t="shared" si="5"/>
        <v>188</v>
      </c>
      <c r="C203" s="12">
        <f>IF((Startdatum),EOMONTH(C202,1))</f>
        <v>48975</v>
      </c>
      <c r="D203" s="13">
        <f t="shared" si="4"/>
        <v>31326.523406371103</v>
      </c>
      <c r="E203" s="14">
        <f>IF(AnzahlZahlungen&lt;&gt;"",IF(Tabelle1[[#This Row],[Startsaldo]]&lt;Rate,Tabelle1[[#This Row],[Startsaldo]],Rate),"")</f>
        <v>659.95573921665743</v>
      </c>
      <c r="F203" s="19"/>
      <c r="G203" s="13">
        <f>Tabelle1[[#This Row],[Planmässige Zahlung ]]+Tabelle1[[#This Row],[Sonderzahlung]]</f>
        <v>659.95573921665743</v>
      </c>
      <c r="H203" s="14">
        <f>Tabelle1[[#This Row],[Zahlung gesamt]]-Tabelle1[[#This Row],[Zinsleistung]]</f>
        <v>529.42855835677778</v>
      </c>
      <c r="I203" s="14">
        <f>IF(AnzahlZahlungen&lt;&gt;"",Tabelle1[[#This Row],[Startsaldo]]*Zinssatz/12,"")</f>
        <v>130.52718085987962</v>
      </c>
      <c r="J203" s="13">
        <f>IF(AnzahlZahlungen&lt;&gt;0,Tabelle1[[#This Row],[Startsaldo]]-Tabelle1[[#This Row],[Zahlung gesamt]],"")</f>
        <v>30666.567667154446</v>
      </c>
      <c r="K203" s="14">
        <f>K202+Tabelle1[[#This Row],[Zinsleistung]]</f>
        <v>54868.773820745919</v>
      </c>
    </row>
    <row r="204" spans="2:11" x14ac:dyDescent="0.25">
      <c r="B204" s="11">
        <f t="shared" si="5"/>
        <v>189</v>
      </c>
      <c r="C204" s="12">
        <f>IF((Startdatum),EOMONTH(C203,1))</f>
        <v>49003</v>
      </c>
      <c r="D204" s="13">
        <f t="shared" si="4"/>
        <v>30797.094848014327</v>
      </c>
      <c r="E204" s="14">
        <f>IF(AnzahlZahlungen&lt;&gt;"",IF(Tabelle1[[#This Row],[Startsaldo]]&lt;Rate,Tabelle1[[#This Row],[Startsaldo]],Rate),"")</f>
        <v>659.95573921665743</v>
      </c>
      <c r="F204" s="19"/>
      <c r="G204" s="13">
        <f>Tabelle1[[#This Row],[Planmässige Zahlung ]]+Tabelle1[[#This Row],[Sonderzahlung]]</f>
        <v>659.95573921665743</v>
      </c>
      <c r="H204" s="14">
        <f>Tabelle1[[#This Row],[Zahlung gesamt]]-Tabelle1[[#This Row],[Zinsleistung]]</f>
        <v>531.63451068326435</v>
      </c>
      <c r="I204" s="14">
        <f>IF(AnzahlZahlungen&lt;&gt;"",Tabelle1[[#This Row],[Startsaldo]]*Zinssatz/12,"")</f>
        <v>128.32122853339305</v>
      </c>
      <c r="J204" s="13">
        <f>IF(AnzahlZahlungen&lt;&gt;0,Tabelle1[[#This Row],[Startsaldo]]-Tabelle1[[#This Row],[Zahlung gesamt]],"")</f>
        <v>30137.13910879767</v>
      </c>
      <c r="K204" s="14">
        <f>K203+Tabelle1[[#This Row],[Zinsleistung]]</f>
        <v>54997.095049279313</v>
      </c>
    </row>
    <row r="205" spans="2:11" x14ac:dyDescent="0.25">
      <c r="B205" s="11">
        <f t="shared" si="5"/>
        <v>190</v>
      </c>
      <c r="C205" s="12">
        <f>IF((Startdatum),EOMONTH(C204,1))</f>
        <v>49034</v>
      </c>
      <c r="D205" s="13">
        <f t="shared" si="4"/>
        <v>30265.460337331064</v>
      </c>
      <c r="E205" s="14">
        <f>IF(AnzahlZahlungen&lt;&gt;"",IF(Tabelle1[[#This Row],[Startsaldo]]&lt;Rate,Tabelle1[[#This Row],[Startsaldo]],Rate),"")</f>
        <v>659.95573921665743</v>
      </c>
      <c r="F205" s="19"/>
      <c r="G205" s="13">
        <f>Tabelle1[[#This Row],[Planmässige Zahlung ]]+Tabelle1[[#This Row],[Sonderzahlung]]</f>
        <v>659.95573921665743</v>
      </c>
      <c r="H205" s="14">
        <f>Tabelle1[[#This Row],[Zahlung gesamt]]-Tabelle1[[#This Row],[Zinsleistung]]</f>
        <v>533.84965447777802</v>
      </c>
      <c r="I205" s="14">
        <f>IF(AnzahlZahlungen&lt;&gt;"",Tabelle1[[#This Row],[Startsaldo]]*Zinssatz/12,"")</f>
        <v>126.10608473887943</v>
      </c>
      <c r="J205" s="13">
        <f>IF(AnzahlZahlungen&lt;&gt;0,Tabelle1[[#This Row],[Startsaldo]]-Tabelle1[[#This Row],[Zahlung gesamt]],"")</f>
        <v>29605.504598114407</v>
      </c>
      <c r="K205" s="14">
        <f>K204+Tabelle1[[#This Row],[Zinsleistung]]</f>
        <v>55123.201134018193</v>
      </c>
    </row>
    <row r="206" spans="2:11" x14ac:dyDescent="0.25">
      <c r="B206" s="11">
        <f t="shared" si="5"/>
        <v>191</v>
      </c>
      <c r="C206" s="12">
        <f>IF((Startdatum),EOMONTH(C205,1))</f>
        <v>49064</v>
      </c>
      <c r="D206" s="13">
        <f t="shared" si="4"/>
        <v>29731.610682853287</v>
      </c>
      <c r="E206" s="14">
        <f>IF(AnzahlZahlungen&lt;&gt;"",IF(Tabelle1[[#This Row],[Startsaldo]]&lt;Rate,Tabelle1[[#This Row],[Startsaldo]],Rate),"")</f>
        <v>659.95573921665743</v>
      </c>
      <c r="F206" s="19"/>
      <c r="G206" s="13">
        <f>Tabelle1[[#This Row],[Planmässige Zahlung ]]+Tabelle1[[#This Row],[Sonderzahlung]]</f>
        <v>659.95573921665743</v>
      </c>
      <c r="H206" s="14">
        <f>Tabelle1[[#This Row],[Zahlung gesamt]]-Tabelle1[[#This Row],[Zinsleistung]]</f>
        <v>536.07402803810203</v>
      </c>
      <c r="I206" s="14">
        <f>IF(AnzahlZahlungen&lt;&gt;"",Tabelle1[[#This Row],[Startsaldo]]*Zinssatz/12,"")</f>
        <v>123.88171117855536</v>
      </c>
      <c r="J206" s="13">
        <f>IF(AnzahlZahlungen&lt;&gt;0,Tabelle1[[#This Row],[Startsaldo]]-Tabelle1[[#This Row],[Zahlung gesamt]],"")</f>
        <v>29071.654943636629</v>
      </c>
      <c r="K206" s="14">
        <f>K205+Tabelle1[[#This Row],[Zinsleistung]]</f>
        <v>55247.082845196746</v>
      </c>
    </row>
    <row r="207" spans="2:11" x14ac:dyDescent="0.25">
      <c r="B207" s="11">
        <f t="shared" si="5"/>
        <v>192</v>
      </c>
      <c r="C207" s="12">
        <f>IF((Startdatum),EOMONTH(C206,1))</f>
        <v>49095</v>
      </c>
      <c r="D207" s="13">
        <f t="shared" si="4"/>
        <v>29195.536654815183</v>
      </c>
      <c r="E207" s="14">
        <f>IF(AnzahlZahlungen&lt;&gt;"",IF(Tabelle1[[#This Row],[Startsaldo]]&lt;Rate,Tabelle1[[#This Row],[Startsaldo]],Rate),"")</f>
        <v>659.95573921665743</v>
      </c>
      <c r="F207" s="19"/>
      <c r="G207" s="13">
        <f>Tabelle1[[#This Row],[Planmässige Zahlung ]]+Tabelle1[[#This Row],[Sonderzahlung]]</f>
        <v>659.95573921665743</v>
      </c>
      <c r="H207" s="14">
        <f>Tabelle1[[#This Row],[Zahlung gesamt]]-Tabelle1[[#This Row],[Zinsleistung]]</f>
        <v>538.30766982159412</v>
      </c>
      <c r="I207" s="14">
        <f>IF(AnzahlZahlungen&lt;&gt;"",Tabelle1[[#This Row],[Startsaldo]]*Zinssatz/12,"")</f>
        <v>121.64806939506327</v>
      </c>
      <c r="J207" s="13">
        <f>IF(AnzahlZahlungen&lt;&gt;0,Tabelle1[[#This Row],[Startsaldo]]-Tabelle1[[#This Row],[Zahlung gesamt]],"")</f>
        <v>28535.580915598526</v>
      </c>
      <c r="K207" s="14">
        <f>K206+Tabelle1[[#This Row],[Zinsleistung]]</f>
        <v>55368.730914591812</v>
      </c>
    </row>
    <row r="208" spans="2:11" x14ac:dyDescent="0.25">
      <c r="B208" s="11">
        <f t="shared" si="5"/>
        <v>193</v>
      </c>
      <c r="C208" s="12">
        <f>IF((Startdatum),EOMONTH(C207,1))</f>
        <v>49125</v>
      </c>
      <c r="D208" s="13">
        <f t="shared" si="4"/>
        <v>28657.228984993588</v>
      </c>
      <c r="E208" s="14">
        <f>IF(AnzahlZahlungen&lt;&gt;"",IF(Tabelle1[[#This Row],[Startsaldo]]&lt;Rate,Tabelle1[[#This Row],[Startsaldo]],Rate),"")</f>
        <v>659.95573921665743</v>
      </c>
      <c r="F208" s="19"/>
      <c r="G208" s="13">
        <f>Tabelle1[[#This Row],[Planmässige Zahlung ]]+Tabelle1[[#This Row],[Sonderzahlung]]</f>
        <v>659.95573921665743</v>
      </c>
      <c r="H208" s="14">
        <f>Tabelle1[[#This Row],[Zahlung gesamt]]-Tabelle1[[#This Row],[Zinsleistung]]</f>
        <v>540.55061844585077</v>
      </c>
      <c r="I208" s="14">
        <f>IF(AnzahlZahlungen&lt;&gt;"",Tabelle1[[#This Row],[Startsaldo]]*Zinssatz/12,"")</f>
        <v>119.40512077080662</v>
      </c>
      <c r="J208" s="13">
        <f>IF(AnzahlZahlungen&lt;&gt;0,Tabelle1[[#This Row],[Startsaldo]]-Tabelle1[[#This Row],[Zahlung gesamt]],"")</f>
        <v>27997.273245776931</v>
      </c>
      <c r="K208" s="14">
        <f>K207+Tabelle1[[#This Row],[Zinsleistung]]</f>
        <v>55488.136035362615</v>
      </c>
    </row>
    <row r="209" spans="2:11" x14ac:dyDescent="0.25">
      <c r="B209" s="11">
        <f t="shared" si="5"/>
        <v>194</v>
      </c>
      <c r="C209" s="12">
        <f>IF((Startdatum),EOMONTH(C208,1))</f>
        <v>49156</v>
      </c>
      <c r="D209" s="13">
        <f t="shared" ref="D209:D272" si="6">IF(D208&lt;=Rate,0,D208-H208)</f>
        <v>28116.678366547738</v>
      </c>
      <c r="E209" s="14">
        <f>IF(AnzahlZahlungen&lt;&gt;"",IF(Tabelle1[[#This Row],[Startsaldo]]&lt;Rate,Tabelle1[[#This Row],[Startsaldo]],Rate),"")</f>
        <v>659.95573921665743</v>
      </c>
      <c r="F209" s="19"/>
      <c r="G209" s="13">
        <f>Tabelle1[[#This Row],[Planmässige Zahlung ]]+Tabelle1[[#This Row],[Sonderzahlung]]</f>
        <v>659.95573921665743</v>
      </c>
      <c r="H209" s="14">
        <f>Tabelle1[[#This Row],[Zahlung gesamt]]-Tabelle1[[#This Row],[Zinsleistung]]</f>
        <v>542.80291268937515</v>
      </c>
      <c r="I209" s="14">
        <f>IF(AnzahlZahlungen&lt;&gt;"",Tabelle1[[#This Row],[Startsaldo]]*Zinssatz/12,"")</f>
        <v>117.15282652728224</v>
      </c>
      <c r="J209" s="13">
        <f>IF(AnzahlZahlungen&lt;&gt;0,Tabelle1[[#This Row],[Startsaldo]]-Tabelle1[[#This Row],[Zahlung gesamt]],"")</f>
        <v>27456.722627331081</v>
      </c>
      <c r="K209" s="14">
        <f>K208+Tabelle1[[#This Row],[Zinsleistung]]</f>
        <v>55605.288861889894</v>
      </c>
    </row>
    <row r="210" spans="2:11" x14ac:dyDescent="0.25">
      <c r="B210" s="11">
        <f t="shared" ref="B210:B273" si="7">B209+1</f>
        <v>195</v>
      </c>
      <c r="C210" s="12">
        <f>IF((Startdatum),EOMONTH(C209,1))</f>
        <v>49187</v>
      </c>
      <c r="D210" s="13">
        <f t="shared" si="6"/>
        <v>27573.875453858363</v>
      </c>
      <c r="E210" s="14">
        <f>IF(AnzahlZahlungen&lt;&gt;"",IF(Tabelle1[[#This Row],[Startsaldo]]&lt;Rate,Tabelle1[[#This Row],[Startsaldo]],Rate),"")</f>
        <v>659.95573921665743</v>
      </c>
      <c r="F210" s="19"/>
      <c r="G210" s="13">
        <f>Tabelle1[[#This Row],[Planmässige Zahlung ]]+Tabelle1[[#This Row],[Sonderzahlung]]</f>
        <v>659.95573921665743</v>
      </c>
      <c r="H210" s="14">
        <f>Tabelle1[[#This Row],[Zahlung gesamt]]-Tabelle1[[#This Row],[Zinsleistung]]</f>
        <v>545.06459149224759</v>
      </c>
      <c r="I210" s="14">
        <f>IF(AnzahlZahlungen&lt;&gt;"",Tabelle1[[#This Row],[Startsaldo]]*Zinssatz/12,"")</f>
        <v>114.89114772440985</v>
      </c>
      <c r="J210" s="13">
        <f>IF(AnzahlZahlungen&lt;&gt;0,Tabelle1[[#This Row],[Startsaldo]]-Tabelle1[[#This Row],[Zahlung gesamt]],"")</f>
        <v>26913.919714641706</v>
      </c>
      <c r="K210" s="14">
        <f>K209+Tabelle1[[#This Row],[Zinsleistung]]</f>
        <v>55720.180009614305</v>
      </c>
    </row>
    <row r="211" spans="2:11" x14ac:dyDescent="0.25">
      <c r="B211" s="11">
        <f t="shared" si="7"/>
        <v>196</v>
      </c>
      <c r="C211" s="12">
        <f>IF((Startdatum),EOMONTH(C210,1))</f>
        <v>49217</v>
      </c>
      <c r="D211" s="13">
        <f t="shared" si="6"/>
        <v>27028.810862366117</v>
      </c>
      <c r="E211" s="14">
        <f>IF(AnzahlZahlungen&lt;&gt;"",IF(Tabelle1[[#This Row],[Startsaldo]]&lt;Rate,Tabelle1[[#This Row],[Startsaldo]],Rate),"")</f>
        <v>659.95573921665743</v>
      </c>
      <c r="F211" s="19"/>
      <c r="G211" s="13">
        <f>Tabelle1[[#This Row],[Planmässige Zahlung ]]+Tabelle1[[#This Row],[Sonderzahlung]]</f>
        <v>659.95573921665743</v>
      </c>
      <c r="H211" s="14">
        <f>Tabelle1[[#This Row],[Zahlung gesamt]]-Tabelle1[[#This Row],[Zinsleistung]]</f>
        <v>547.33569395679865</v>
      </c>
      <c r="I211" s="14">
        <f>IF(AnzahlZahlungen&lt;&gt;"",Tabelle1[[#This Row],[Startsaldo]]*Zinssatz/12,"")</f>
        <v>112.62004525985883</v>
      </c>
      <c r="J211" s="13">
        <f>IF(AnzahlZahlungen&lt;&gt;0,Tabelle1[[#This Row],[Startsaldo]]-Tabelle1[[#This Row],[Zahlung gesamt]],"")</f>
        <v>26368.85512314946</v>
      </c>
      <c r="K211" s="14">
        <f>K210+Tabelle1[[#This Row],[Zinsleistung]]</f>
        <v>55832.800054874162</v>
      </c>
    </row>
    <row r="212" spans="2:11" x14ac:dyDescent="0.25">
      <c r="B212" s="11">
        <f t="shared" si="7"/>
        <v>197</v>
      </c>
      <c r="C212" s="12">
        <f>IF((Startdatum),EOMONTH(C211,1))</f>
        <v>49248</v>
      </c>
      <c r="D212" s="13">
        <f t="shared" si="6"/>
        <v>26481.475168409317</v>
      </c>
      <c r="E212" s="14">
        <f>IF(AnzahlZahlungen&lt;&gt;"",IF(Tabelle1[[#This Row],[Startsaldo]]&lt;Rate,Tabelle1[[#This Row],[Startsaldo]],Rate),"")</f>
        <v>659.95573921665743</v>
      </c>
      <c r="F212" s="19"/>
      <c r="G212" s="13">
        <f>Tabelle1[[#This Row],[Planmässige Zahlung ]]+Tabelle1[[#This Row],[Sonderzahlung]]</f>
        <v>659.95573921665743</v>
      </c>
      <c r="H212" s="14">
        <f>Tabelle1[[#This Row],[Zahlung gesamt]]-Tabelle1[[#This Row],[Zinsleistung]]</f>
        <v>549.61625934828521</v>
      </c>
      <c r="I212" s="14">
        <f>IF(AnzahlZahlungen&lt;&gt;"",Tabelle1[[#This Row],[Startsaldo]]*Zinssatz/12,"")</f>
        <v>110.33947986837217</v>
      </c>
      <c r="J212" s="13">
        <f>IF(AnzahlZahlungen&lt;&gt;0,Tabelle1[[#This Row],[Startsaldo]]-Tabelle1[[#This Row],[Zahlung gesamt]],"")</f>
        <v>25821.51942919266</v>
      </c>
      <c r="K212" s="14">
        <f>K211+Tabelle1[[#This Row],[Zinsleistung]]</f>
        <v>55943.139534742535</v>
      </c>
    </row>
    <row r="213" spans="2:11" x14ac:dyDescent="0.25">
      <c r="B213" s="11">
        <f t="shared" si="7"/>
        <v>198</v>
      </c>
      <c r="C213" s="12">
        <f>IF((Startdatum),EOMONTH(C212,1))</f>
        <v>49278</v>
      </c>
      <c r="D213" s="13">
        <f t="shared" si="6"/>
        <v>25931.858909061033</v>
      </c>
      <c r="E213" s="14">
        <f>IF(AnzahlZahlungen&lt;&gt;"",IF(Tabelle1[[#This Row],[Startsaldo]]&lt;Rate,Tabelle1[[#This Row],[Startsaldo]],Rate),"")</f>
        <v>659.95573921665743</v>
      </c>
      <c r="F213" s="19"/>
      <c r="G213" s="13">
        <f>Tabelle1[[#This Row],[Planmässige Zahlung ]]+Tabelle1[[#This Row],[Sonderzahlung]]</f>
        <v>659.95573921665743</v>
      </c>
      <c r="H213" s="14">
        <f>Tabelle1[[#This Row],[Zahlung gesamt]]-Tabelle1[[#This Row],[Zinsleistung]]</f>
        <v>551.90632709556985</v>
      </c>
      <c r="I213" s="14">
        <f>IF(AnzahlZahlungen&lt;&gt;"",Tabelle1[[#This Row],[Startsaldo]]*Zinssatz/12,"")</f>
        <v>108.04941212108764</v>
      </c>
      <c r="J213" s="13">
        <f>IF(AnzahlZahlungen&lt;&gt;0,Tabelle1[[#This Row],[Startsaldo]]-Tabelle1[[#This Row],[Zahlung gesamt]],"")</f>
        <v>25271.903169844376</v>
      </c>
      <c r="K213" s="14">
        <f>K212+Tabelle1[[#This Row],[Zinsleistung]]</f>
        <v>56051.188946863622</v>
      </c>
    </row>
    <row r="214" spans="2:11" x14ac:dyDescent="0.25">
      <c r="B214" s="11">
        <f t="shared" si="7"/>
        <v>199</v>
      </c>
      <c r="C214" s="12">
        <f>IF((Startdatum),EOMONTH(C213,1))</f>
        <v>49309</v>
      </c>
      <c r="D214" s="13">
        <f t="shared" si="6"/>
        <v>25379.952581965463</v>
      </c>
      <c r="E214" s="14">
        <f>IF(AnzahlZahlungen&lt;&gt;"",IF(Tabelle1[[#This Row],[Startsaldo]]&lt;Rate,Tabelle1[[#This Row],[Startsaldo]],Rate),"")</f>
        <v>659.95573921665743</v>
      </c>
      <c r="F214" s="19"/>
      <c r="G214" s="13">
        <f>Tabelle1[[#This Row],[Planmässige Zahlung ]]+Tabelle1[[#This Row],[Sonderzahlung]]</f>
        <v>659.95573921665743</v>
      </c>
      <c r="H214" s="14">
        <f>Tabelle1[[#This Row],[Zahlung gesamt]]-Tabelle1[[#This Row],[Zinsleistung]]</f>
        <v>554.20593679180138</v>
      </c>
      <c r="I214" s="14">
        <f>IF(AnzahlZahlungen&lt;&gt;"",Tabelle1[[#This Row],[Startsaldo]]*Zinssatz/12,"")</f>
        <v>105.7498024248561</v>
      </c>
      <c r="J214" s="13">
        <f>IF(AnzahlZahlungen&lt;&gt;0,Tabelle1[[#This Row],[Startsaldo]]-Tabelle1[[#This Row],[Zahlung gesamt]],"")</f>
        <v>24719.996842748806</v>
      </c>
      <c r="K214" s="14">
        <f>K213+Tabelle1[[#This Row],[Zinsleistung]]</f>
        <v>56156.938749288478</v>
      </c>
    </row>
    <row r="215" spans="2:11" x14ac:dyDescent="0.25">
      <c r="B215" s="11">
        <f t="shared" si="7"/>
        <v>200</v>
      </c>
      <c r="C215" s="12">
        <f>IF((Startdatum),EOMONTH(C214,1))</f>
        <v>49340</v>
      </c>
      <c r="D215" s="13">
        <f t="shared" si="6"/>
        <v>24825.746645173662</v>
      </c>
      <c r="E215" s="14">
        <f>IF(AnzahlZahlungen&lt;&gt;"",IF(Tabelle1[[#This Row],[Startsaldo]]&lt;Rate,Tabelle1[[#This Row],[Startsaldo]],Rate),"")</f>
        <v>659.95573921665743</v>
      </c>
      <c r="F215" s="19"/>
      <c r="G215" s="13">
        <f>Tabelle1[[#This Row],[Planmässige Zahlung ]]+Tabelle1[[#This Row],[Sonderzahlung]]</f>
        <v>659.95573921665743</v>
      </c>
      <c r="H215" s="14">
        <f>Tabelle1[[#This Row],[Zahlung gesamt]]-Tabelle1[[#This Row],[Zinsleistung]]</f>
        <v>556.51512819510049</v>
      </c>
      <c r="I215" s="14">
        <f>IF(AnzahlZahlungen&lt;&gt;"",Tabelle1[[#This Row],[Startsaldo]]*Zinssatz/12,"")</f>
        <v>103.44061102155693</v>
      </c>
      <c r="J215" s="13">
        <f>IF(AnzahlZahlungen&lt;&gt;0,Tabelle1[[#This Row],[Startsaldo]]-Tabelle1[[#This Row],[Zahlung gesamt]],"")</f>
        <v>24165.790905957005</v>
      </c>
      <c r="K215" s="14">
        <f>K214+Tabelle1[[#This Row],[Zinsleistung]]</f>
        <v>56260.379360310035</v>
      </c>
    </row>
    <row r="216" spans="2:11" x14ac:dyDescent="0.25">
      <c r="B216" s="11">
        <f t="shared" si="7"/>
        <v>201</v>
      </c>
      <c r="C216" s="12">
        <f>IF((Startdatum),EOMONTH(C215,1))</f>
        <v>49368</v>
      </c>
      <c r="D216" s="13">
        <f t="shared" si="6"/>
        <v>24269.231516978562</v>
      </c>
      <c r="E216" s="14">
        <f>IF(AnzahlZahlungen&lt;&gt;"",IF(Tabelle1[[#This Row],[Startsaldo]]&lt;Rate,Tabelle1[[#This Row],[Startsaldo]],Rate),"")</f>
        <v>659.95573921665743</v>
      </c>
      <c r="F216" s="19"/>
      <c r="G216" s="13">
        <f>Tabelle1[[#This Row],[Planmässige Zahlung ]]+Tabelle1[[#This Row],[Sonderzahlung]]</f>
        <v>659.95573921665743</v>
      </c>
      <c r="H216" s="14">
        <f>Tabelle1[[#This Row],[Zahlung gesamt]]-Tabelle1[[#This Row],[Zinsleistung]]</f>
        <v>558.83394122924676</v>
      </c>
      <c r="I216" s="14">
        <f>IF(AnzahlZahlungen&lt;&gt;"",Tabelle1[[#This Row],[Startsaldo]]*Zinssatz/12,"")</f>
        <v>101.12179798741067</v>
      </c>
      <c r="J216" s="13">
        <f>IF(AnzahlZahlungen&lt;&gt;0,Tabelle1[[#This Row],[Startsaldo]]-Tabelle1[[#This Row],[Zahlung gesamt]],"")</f>
        <v>23609.275777761904</v>
      </c>
      <c r="K216" s="14">
        <f>K215+Tabelle1[[#This Row],[Zinsleistung]]</f>
        <v>56361.501158297448</v>
      </c>
    </row>
    <row r="217" spans="2:11" x14ac:dyDescent="0.25">
      <c r="B217" s="11">
        <f t="shared" si="7"/>
        <v>202</v>
      </c>
      <c r="C217" s="12">
        <f>IF((Startdatum),EOMONTH(C216,1))</f>
        <v>49399</v>
      </c>
      <c r="D217" s="13">
        <f t="shared" si="6"/>
        <v>23710.397575749314</v>
      </c>
      <c r="E217" s="14">
        <f>IF(AnzahlZahlungen&lt;&gt;"",IF(Tabelle1[[#This Row],[Startsaldo]]&lt;Rate,Tabelle1[[#This Row],[Startsaldo]],Rate),"")</f>
        <v>659.95573921665743</v>
      </c>
      <c r="F217" s="19"/>
      <c r="G217" s="13">
        <f>Tabelle1[[#This Row],[Planmässige Zahlung ]]+Tabelle1[[#This Row],[Sonderzahlung]]</f>
        <v>659.95573921665743</v>
      </c>
      <c r="H217" s="14">
        <f>Tabelle1[[#This Row],[Zahlung gesamt]]-Tabelle1[[#This Row],[Zinsleistung]]</f>
        <v>561.16241598436864</v>
      </c>
      <c r="I217" s="14">
        <f>IF(AnzahlZahlungen&lt;&gt;"",Tabelle1[[#This Row],[Startsaldo]]*Zinssatz/12,"")</f>
        <v>98.793323232288813</v>
      </c>
      <c r="J217" s="13">
        <f>IF(AnzahlZahlungen&lt;&gt;0,Tabelle1[[#This Row],[Startsaldo]]-Tabelle1[[#This Row],[Zahlung gesamt]],"")</f>
        <v>23050.441836532656</v>
      </c>
      <c r="K217" s="14">
        <f>K216+Tabelle1[[#This Row],[Zinsleistung]]</f>
        <v>56460.294481529738</v>
      </c>
    </row>
    <row r="218" spans="2:11" x14ac:dyDescent="0.25">
      <c r="B218" s="11">
        <f t="shared" si="7"/>
        <v>203</v>
      </c>
      <c r="C218" s="12">
        <f>IF((Startdatum),EOMONTH(C217,1))</f>
        <v>49429</v>
      </c>
      <c r="D218" s="13">
        <f t="shared" si="6"/>
        <v>23149.235159764947</v>
      </c>
      <c r="E218" s="14">
        <f>IF(AnzahlZahlungen&lt;&gt;"",IF(Tabelle1[[#This Row],[Startsaldo]]&lt;Rate,Tabelle1[[#This Row],[Startsaldo]],Rate),"")</f>
        <v>659.95573921665743</v>
      </c>
      <c r="F218" s="19"/>
      <c r="G218" s="13">
        <f>Tabelle1[[#This Row],[Planmässige Zahlung ]]+Tabelle1[[#This Row],[Sonderzahlung]]</f>
        <v>659.95573921665743</v>
      </c>
      <c r="H218" s="14">
        <f>Tabelle1[[#This Row],[Zahlung gesamt]]-Tabelle1[[#This Row],[Zinsleistung]]</f>
        <v>563.50059271763678</v>
      </c>
      <c r="I218" s="14">
        <f>IF(AnzahlZahlungen&lt;&gt;"",Tabelle1[[#This Row],[Startsaldo]]*Zinssatz/12,"")</f>
        <v>96.455146499020614</v>
      </c>
      <c r="J218" s="13">
        <f>IF(AnzahlZahlungen&lt;&gt;0,Tabelle1[[#This Row],[Startsaldo]]-Tabelle1[[#This Row],[Zahlung gesamt]],"")</f>
        <v>22489.27942054829</v>
      </c>
      <c r="K218" s="14">
        <f>K217+Tabelle1[[#This Row],[Zinsleistung]]</f>
        <v>56556.74962802876</v>
      </c>
    </row>
    <row r="219" spans="2:11" x14ac:dyDescent="0.25">
      <c r="B219" s="11">
        <f t="shared" si="7"/>
        <v>204</v>
      </c>
      <c r="C219" s="12">
        <f>IF((Startdatum),EOMONTH(C218,1))</f>
        <v>49460</v>
      </c>
      <c r="D219" s="13">
        <f t="shared" si="6"/>
        <v>22585.734567047311</v>
      </c>
      <c r="E219" s="14">
        <f>IF(AnzahlZahlungen&lt;&gt;"",IF(Tabelle1[[#This Row],[Startsaldo]]&lt;Rate,Tabelle1[[#This Row],[Startsaldo]],Rate),"")</f>
        <v>659.95573921665743</v>
      </c>
      <c r="F219" s="19"/>
      <c r="G219" s="13">
        <f>Tabelle1[[#This Row],[Planmässige Zahlung ]]+Tabelle1[[#This Row],[Sonderzahlung]]</f>
        <v>659.95573921665743</v>
      </c>
      <c r="H219" s="14">
        <f>Tabelle1[[#This Row],[Zahlung gesamt]]-Tabelle1[[#This Row],[Zinsleistung]]</f>
        <v>565.8485118539603</v>
      </c>
      <c r="I219" s="14">
        <f>IF(AnzahlZahlungen&lt;&gt;"",Tabelle1[[#This Row],[Startsaldo]]*Zinssatz/12,"")</f>
        <v>94.107227362697131</v>
      </c>
      <c r="J219" s="13">
        <f>IF(AnzahlZahlungen&lt;&gt;0,Tabelle1[[#This Row],[Startsaldo]]-Tabelle1[[#This Row],[Zahlung gesamt]],"")</f>
        <v>21925.778827830654</v>
      </c>
      <c r="K219" s="14">
        <f>K218+Tabelle1[[#This Row],[Zinsleistung]]</f>
        <v>56650.856855391459</v>
      </c>
    </row>
    <row r="220" spans="2:11" x14ac:dyDescent="0.25">
      <c r="B220" s="11">
        <f t="shared" si="7"/>
        <v>205</v>
      </c>
      <c r="C220" s="12">
        <f>IF((Startdatum),EOMONTH(C219,1))</f>
        <v>49490</v>
      </c>
      <c r="D220" s="13">
        <f t="shared" si="6"/>
        <v>22019.88605519335</v>
      </c>
      <c r="E220" s="14">
        <f>IF(AnzahlZahlungen&lt;&gt;"",IF(Tabelle1[[#This Row],[Startsaldo]]&lt;Rate,Tabelle1[[#This Row],[Startsaldo]],Rate),"")</f>
        <v>659.95573921665743</v>
      </c>
      <c r="F220" s="19"/>
      <c r="G220" s="13">
        <f>Tabelle1[[#This Row],[Planmässige Zahlung ]]+Tabelle1[[#This Row],[Sonderzahlung]]</f>
        <v>659.95573921665743</v>
      </c>
      <c r="H220" s="14">
        <f>Tabelle1[[#This Row],[Zahlung gesamt]]-Tabelle1[[#This Row],[Zinsleistung]]</f>
        <v>568.20621398668516</v>
      </c>
      <c r="I220" s="14">
        <f>IF(AnzahlZahlungen&lt;&gt;"",Tabelle1[[#This Row],[Startsaldo]]*Zinssatz/12,"")</f>
        <v>91.749525229972292</v>
      </c>
      <c r="J220" s="13">
        <f>IF(AnzahlZahlungen&lt;&gt;0,Tabelle1[[#This Row],[Startsaldo]]-Tabelle1[[#This Row],[Zahlung gesamt]],"")</f>
        <v>21359.930315976693</v>
      </c>
      <c r="K220" s="14">
        <f>K219+Tabelle1[[#This Row],[Zinsleistung]]</f>
        <v>56742.60638062143</v>
      </c>
    </row>
    <row r="221" spans="2:11" x14ac:dyDescent="0.25">
      <c r="B221" s="11">
        <f t="shared" si="7"/>
        <v>206</v>
      </c>
      <c r="C221" s="12">
        <f>IF((Startdatum),EOMONTH(C220,1))</f>
        <v>49521</v>
      </c>
      <c r="D221" s="13">
        <f t="shared" si="6"/>
        <v>21451.679841206664</v>
      </c>
      <c r="E221" s="14">
        <f>IF(AnzahlZahlungen&lt;&gt;"",IF(Tabelle1[[#This Row],[Startsaldo]]&lt;Rate,Tabelle1[[#This Row],[Startsaldo]],Rate),"")</f>
        <v>659.95573921665743</v>
      </c>
      <c r="F221" s="19"/>
      <c r="G221" s="13">
        <f>Tabelle1[[#This Row],[Planmässige Zahlung ]]+Tabelle1[[#This Row],[Sonderzahlung]]</f>
        <v>659.95573921665743</v>
      </c>
      <c r="H221" s="14">
        <f>Tabelle1[[#This Row],[Zahlung gesamt]]-Tabelle1[[#This Row],[Zinsleistung]]</f>
        <v>570.57373987829635</v>
      </c>
      <c r="I221" s="14">
        <f>IF(AnzahlZahlungen&lt;&gt;"",Tabelle1[[#This Row],[Startsaldo]]*Zinssatz/12,"")</f>
        <v>89.381999338361098</v>
      </c>
      <c r="J221" s="13">
        <f>IF(AnzahlZahlungen&lt;&gt;0,Tabelle1[[#This Row],[Startsaldo]]-Tabelle1[[#This Row],[Zahlung gesamt]],"")</f>
        <v>20791.724101990007</v>
      </c>
      <c r="K221" s="14">
        <f>K220+Tabelle1[[#This Row],[Zinsleistung]]</f>
        <v>56831.988379959788</v>
      </c>
    </row>
    <row r="222" spans="2:11" x14ac:dyDescent="0.25">
      <c r="B222" s="11">
        <f t="shared" si="7"/>
        <v>207</v>
      </c>
      <c r="C222" s="12">
        <f>IF((Startdatum),EOMONTH(C221,1))</f>
        <v>49552</v>
      </c>
      <c r="D222" s="13">
        <f t="shared" si="6"/>
        <v>20881.106101328369</v>
      </c>
      <c r="E222" s="14">
        <f>IF(AnzahlZahlungen&lt;&gt;"",IF(Tabelle1[[#This Row],[Startsaldo]]&lt;Rate,Tabelle1[[#This Row],[Startsaldo]],Rate),"")</f>
        <v>659.95573921665743</v>
      </c>
      <c r="F222" s="19"/>
      <c r="G222" s="13">
        <f>Tabelle1[[#This Row],[Planmässige Zahlung ]]+Tabelle1[[#This Row],[Sonderzahlung]]</f>
        <v>659.95573921665743</v>
      </c>
      <c r="H222" s="14">
        <f>Tabelle1[[#This Row],[Zahlung gesamt]]-Tabelle1[[#This Row],[Zinsleistung]]</f>
        <v>572.9511304611226</v>
      </c>
      <c r="I222" s="14">
        <f>IF(AnzahlZahlungen&lt;&gt;"",Tabelle1[[#This Row],[Startsaldo]]*Zinssatz/12,"")</f>
        <v>87.004608755534875</v>
      </c>
      <c r="J222" s="13">
        <f>IF(AnzahlZahlungen&lt;&gt;0,Tabelle1[[#This Row],[Startsaldo]]-Tabelle1[[#This Row],[Zahlung gesamt]],"")</f>
        <v>20221.150362111712</v>
      </c>
      <c r="K222" s="14">
        <f>K221+Tabelle1[[#This Row],[Zinsleistung]]</f>
        <v>56918.992988715327</v>
      </c>
    </row>
    <row r="223" spans="2:11" x14ac:dyDescent="0.25">
      <c r="B223" s="11">
        <f t="shared" si="7"/>
        <v>208</v>
      </c>
      <c r="C223" s="12">
        <f>IF((Startdatum),EOMONTH(C222,1))</f>
        <v>49582</v>
      </c>
      <c r="D223" s="13">
        <f t="shared" si="6"/>
        <v>20308.154970867246</v>
      </c>
      <c r="E223" s="14">
        <f>IF(AnzahlZahlungen&lt;&gt;"",IF(Tabelle1[[#This Row],[Startsaldo]]&lt;Rate,Tabelle1[[#This Row],[Startsaldo]],Rate),"")</f>
        <v>659.95573921665743</v>
      </c>
      <c r="F223" s="19"/>
      <c r="G223" s="13">
        <f>Tabelle1[[#This Row],[Planmässige Zahlung ]]+Tabelle1[[#This Row],[Sonderzahlung]]</f>
        <v>659.95573921665743</v>
      </c>
      <c r="H223" s="14">
        <f>Tabelle1[[#This Row],[Zahlung gesamt]]-Tabelle1[[#This Row],[Zinsleistung]]</f>
        <v>575.33842683804392</v>
      </c>
      <c r="I223" s="14">
        <f>IF(AnzahlZahlungen&lt;&gt;"",Tabelle1[[#This Row],[Startsaldo]]*Zinssatz/12,"")</f>
        <v>84.617312378613533</v>
      </c>
      <c r="J223" s="13">
        <f>IF(AnzahlZahlungen&lt;&gt;0,Tabelle1[[#This Row],[Startsaldo]]-Tabelle1[[#This Row],[Zahlung gesamt]],"")</f>
        <v>19648.199231650589</v>
      </c>
      <c r="K223" s="14">
        <f>K222+Tabelle1[[#This Row],[Zinsleistung]]</f>
        <v>57003.610301093941</v>
      </c>
    </row>
    <row r="224" spans="2:11" x14ac:dyDescent="0.25">
      <c r="B224" s="11">
        <f t="shared" si="7"/>
        <v>209</v>
      </c>
      <c r="C224" s="12">
        <f>IF((Startdatum),EOMONTH(C223,1))</f>
        <v>49613</v>
      </c>
      <c r="D224" s="13">
        <f t="shared" si="6"/>
        <v>19732.816544029203</v>
      </c>
      <c r="E224" s="14">
        <f>IF(AnzahlZahlungen&lt;&gt;"",IF(Tabelle1[[#This Row],[Startsaldo]]&lt;Rate,Tabelle1[[#This Row],[Startsaldo]],Rate),"")</f>
        <v>659.95573921665743</v>
      </c>
      <c r="F224" s="19"/>
      <c r="G224" s="13">
        <f>Tabelle1[[#This Row],[Planmässige Zahlung ]]+Tabelle1[[#This Row],[Sonderzahlung]]</f>
        <v>659.95573921665743</v>
      </c>
      <c r="H224" s="14">
        <f>Tabelle1[[#This Row],[Zahlung gesamt]]-Tabelle1[[#This Row],[Zinsleistung]]</f>
        <v>577.73567028320247</v>
      </c>
      <c r="I224" s="14">
        <f>IF(AnzahlZahlungen&lt;&gt;"",Tabelle1[[#This Row],[Startsaldo]]*Zinssatz/12,"")</f>
        <v>82.220068933455011</v>
      </c>
      <c r="J224" s="13">
        <f>IF(AnzahlZahlungen&lt;&gt;0,Tabelle1[[#This Row],[Startsaldo]]-Tabelle1[[#This Row],[Zahlung gesamt]],"")</f>
        <v>19072.860804812546</v>
      </c>
      <c r="K224" s="14">
        <f>K223+Tabelle1[[#This Row],[Zinsleistung]]</f>
        <v>57085.830370027397</v>
      </c>
    </row>
    <row r="225" spans="2:11" x14ac:dyDescent="0.25">
      <c r="B225" s="11">
        <f t="shared" si="7"/>
        <v>210</v>
      </c>
      <c r="C225" s="12">
        <f>IF((Startdatum),EOMONTH(C224,1))</f>
        <v>49643</v>
      </c>
      <c r="D225" s="13">
        <f t="shared" si="6"/>
        <v>19155.080873745999</v>
      </c>
      <c r="E225" s="14">
        <f>IF(AnzahlZahlungen&lt;&gt;"",IF(Tabelle1[[#This Row],[Startsaldo]]&lt;Rate,Tabelle1[[#This Row],[Startsaldo]],Rate),"")</f>
        <v>659.95573921665743</v>
      </c>
      <c r="F225" s="19"/>
      <c r="G225" s="13">
        <f>Tabelle1[[#This Row],[Planmässige Zahlung ]]+Tabelle1[[#This Row],[Sonderzahlung]]</f>
        <v>659.95573921665743</v>
      </c>
      <c r="H225" s="14">
        <f>Tabelle1[[#This Row],[Zahlung gesamt]]-Tabelle1[[#This Row],[Zinsleistung]]</f>
        <v>580.14290224271576</v>
      </c>
      <c r="I225" s="14">
        <f>IF(AnzahlZahlungen&lt;&gt;"",Tabelle1[[#This Row],[Startsaldo]]*Zinssatz/12,"")</f>
        <v>79.812836973941671</v>
      </c>
      <c r="J225" s="13">
        <f>IF(AnzahlZahlungen&lt;&gt;0,Tabelle1[[#This Row],[Startsaldo]]-Tabelle1[[#This Row],[Zahlung gesamt]],"")</f>
        <v>18495.125134529342</v>
      </c>
      <c r="K225" s="14">
        <f>K224+Tabelle1[[#This Row],[Zinsleistung]]</f>
        <v>57165.64320700134</v>
      </c>
    </row>
    <row r="226" spans="2:11" x14ac:dyDescent="0.25">
      <c r="B226" s="11">
        <f t="shared" si="7"/>
        <v>211</v>
      </c>
      <c r="C226" s="12">
        <f>IF((Startdatum),EOMONTH(C225,1))</f>
        <v>49674</v>
      </c>
      <c r="D226" s="13">
        <f t="shared" si="6"/>
        <v>18574.937971503285</v>
      </c>
      <c r="E226" s="14">
        <f>IF(AnzahlZahlungen&lt;&gt;"",IF(Tabelle1[[#This Row],[Startsaldo]]&lt;Rate,Tabelle1[[#This Row],[Startsaldo]],Rate),"")</f>
        <v>659.95573921665743</v>
      </c>
      <c r="F226" s="19"/>
      <c r="G226" s="13">
        <f>Tabelle1[[#This Row],[Planmässige Zahlung ]]+Tabelle1[[#This Row],[Sonderzahlung]]</f>
        <v>659.95573921665743</v>
      </c>
      <c r="H226" s="14">
        <f>Tabelle1[[#This Row],[Zahlung gesamt]]-Tabelle1[[#This Row],[Zinsleistung]]</f>
        <v>582.56016433539378</v>
      </c>
      <c r="I226" s="14">
        <f>IF(AnzahlZahlungen&lt;&gt;"",Tabelle1[[#This Row],[Startsaldo]]*Zinssatz/12,"")</f>
        <v>77.395574881263698</v>
      </c>
      <c r="J226" s="13">
        <f>IF(AnzahlZahlungen&lt;&gt;0,Tabelle1[[#This Row],[Startsaldo]]-Tabelle1[[#This Row],[Zahlung gesamt]],"")</f>
        <v>17914.982232286628</v>
      </c>
      <c r="K226" s="14">
        <f>K225+Tabelle1[[#This Row],[Zinsleistung]]</f>
        <v>57243.038781882606</v>
      </c>
    </row>
    <row r="227" spans="2:11" x14ac:dyDescent="0.25">
      <c r="B227" s="11">
        <f t="shared" si="7"/>
        <v>212</v>
      </c>
      <c r="C227" s="12">
        <f>IF((Startdatum),EOMONTH(C226,1))</f>
        <v>49705</v>
      </c>
      <c r="D227" s="13">
        <f t="shared" si="6"/>
        <v>17992.37780716789</v>
      </c>
      <c r="E227" s="14">
        <f>IF(AnzahlZahlungen&lt;&gt;"",IF(Tabelle1[[#This Row],[Startsaldo]]&lt;Rate,Tabelle1[[#This Row],[Startsaldo]],Rate),"")</f>
        <v>659.95573921665743</v>
      </c>
      <c r="F227" s="19"/>
      <c r="G227" s="13">
        <f>Tabelle1[[#This Row],[Planmässige Zahlung ]]+Tabelle1[[#This Row],[Sonderzahlung]]</f>
        <v>659.95573921665743</v>
      </c>
      <c r="H227" s="14">
        <f>Tabelle1[[#This Row],[Zahlung gesamt]]-Tabelle1[[#This Row],[Zinsleistung]]</f>
        <v>584.98749835345791</v>
      </c>
      <c r="I227" s="14">
        <f>IF(AnzahlZahlungen&lt;&gt;"",Tabelle1[[#This Row],[Startsaldo]]*Zinssatz/12,"")</f>
        <v>74.96824086319954</v>
      </c>
      <c r="J227" s="13">
        <f>IF(AnzahlZahlungen&lt;&gt;0,Tabelle1[[#This Row],[Startsaldo]]-Tabelle1[[#This Row],[Zahlung gesamt]],"")</f>
        <v>17332.422067951233</v>
      </c>
      <c r="K227" s="14">
        <f>K226+Tabelle1[[#This Row],[Zinsleistung]]</f>
        <v>57318.007022745805</v>
      </c>
    </row>
    <row r="228" spans="2:11" x14ac:dyDescent="0.25">
      <c r="B228" s="11">
        <f t="shared" si="7"/>
        <v>213</v>
      </c>
      <c r="C228" s="12">
        <f>IF((Startdatum),EOMONTH(C227,1))</f>
        <v>49734</v>
      </c>
      <c r="D228" s="13">
        <f t="shared" si="6"/>
        <v>17407.390308814433</v>
      </c>
      <c r="E228" s="14">
        <f>IF(AnzahlZahlungen&lt;&gt;"",IF(Tabelle1[[#This Row],[Startsaldo]]&lt;Rate,Tabelle1[[#This Row],[Startsaldo]],Rate),"")</f>
        <v>659.95573921665743</v>
      </c>
      <c r="F228" s="19"/>
      <c r="G228" s="13">
        <f>Tabelle1[[#This Row],[Planmässige Zahlung ]]+Tabelle1[[#This Row],[Sonderzahlung]]</f>
        <v>659.95573921665743</v>
      </c>
      <c r="H228" s="14">
        <f>Tabelle1[[#This Row],[Zahlung gesamt]]-Tabelle1[[#This Row],[Zinsleistung]]</f>
        <v>587.42494626326402</v>
      </c>
      <c r="I228" s="14">
        <f>IF(AnzahlZahlungen&lt;&gt;"",Tabelle1[[#This Row],[Startsaldo]]*Zinssatz/12,"")</f>
        <v>72.530792953393473</v>
      </c>
      <c r="J228" s="13">
        <f>IF(AnzahlZahlungen&lt;&gt;0,Tabelle1[[#This Row],[Startsaldo]]-Tabelle1[[#This Row],[Zahlung gesamt]],"")</f>
        <v>16747.434569597775</v>
      </c>
      <c r="K228" s="14">
        <f>K227+Tabelle1[[#This Row],[Zinsleistung]]</f>
        <v>57390.537815699201</v>
      </c>
    </row>
    <row r="229" spans="2:11" x14ac:dyDescent="0.25">
      <c r="B229" s="11">
        <f t="shared" si="7"/>
        <v>214</v>
      </c>
      <c r="C229" s="12">
        <f>IF((Startdatum),EOMONTH(C228,1))</f>
        <v>49765</v>
      </c>
      <c r="D229" s="13">
        <f t="shared" si="6"/>
        <v>16819.965362551167</v>
      </c>
      <c r="E229" s="14">
        <f>IF(AnzahlZahlungen&lt;&gt;"",IF(Tabelle1[[#This Row],[Startsaldo]]&lt;Rate,Tabelle1[[#This Row],[Startsaldo]],Rate),"")</f>
        <v>659.95573921665743</v>
      </c>
      <c r="F229" s="19"/>
      <c r="G229" s="13">
        <f>Tabelle1[[#This Row],[Planmässige Zahlung ]]+Tabelle1[[#This Row],[Sonderzahlung]]</f>
        <v>659.95573921665743</v>
      </c>
      <c r="H229" s="14">
        <f>Tabelle1[[#This Row],[Zahlung gesamt]]-Tabelle1[[#This Row],[Zinsleistung]]</f>
        <v>589.87255020602754</v>
      </c>
      <c r="I229" s="14">
        <f>IF(AnzahlZahlungen&lt;&gt;"",Tabelle1[[#This Row],[Startsaldo]]*Zinssatz/12,"")</f>
        <v>70.083189010629866</v>
      </c>
      <c r="J229" s="13">
        <f>IF(AnzahlZahlungen&lt;&gt;0,Tabelle1[[#This Row],[Startsaldo]]-Tabelle1[[#This Row],[Zahlung gesamt]],"")</f>
        <v>16160.00962333451</v>
      </c>
      <c r="K229" s="14">
        <f>K228+Tabelle1[[#This Row],[Zinsleistung]]</f>
        <v>57460.621004709828</v>
      </c>
    </row>
    <row r="230" spans="2:11" x14ac:dyDescent="0.25">
      <c r="B230" s="11">
        <f t="shared" si="7"/>
        <v>215</v>
      </c>
      <c r="C230" s="12">
        <f>IF((Startdatum),EOMONTH(C229,1))</f>
        <v>49795</v>
      </c>
      <c r="D230" s="13">
        <f t="shared" si="6"/>
        <v>16230.092812345139</v>
      </c>
      <c r="E230" s="14">
        <f>IF(AnzahlZahlungen&lt;&gt;"",IF(Tabelle1[[#This Row],[Startsaldo]]&lt;Rate,Tabelle1[[#This Row],[Startsaldo]],Rate),"")</f>
        <v>659.95573921665743</v>
      </c>
      <c r="F230" s="19"/>
      <c r="G230" s="13">
        <f>Tabelle1[[#This Row],[Planmässige Zahlung ]]+Tabelle1[[#This Row],[Sonderzahlung]]</f>
        <v>659.95573921665743</v>
      </c>
      <c r="H230" s="14">
        <f>Tabelle1[[#This Row],[Zahlung gesamt]]-Tabelle1[[#This Row],[Zinsleistung]]</f>
        <v>592.33035249855266</v>
      </c>
      <c r="I230" s="14">
        <f>IF(AnzahlZahlungen&lt;&gt;"",Tabelle1[[#This Row],[Startsaldo]]*Zinssatz/12,"")</f>
        <v>67.62538671810475</v>
      </c>
      <c r="J230" s="13">
        <f>IF(AnzahlZahlungen&lt;&gt;0,Tabelle1[[#This Row],[Startsaldo]]-Tabelle1[[#This Row],[Zahlung gesamt]],"")</f>
        <v>15570.137073128482</v>
      </c>
      <c r="K230" s="14">
        <f>K229+Tabelle1[[#This Row],[Zinsleistung]]</f>
        <v>57528.246391427936</v>
      </c>
    </row>
    <row r="231" spans="2:11" x14ac:dyDescent="0.25">
      <c r="B231" s="11">
        <f t="shared" si="7"/>
        <v>216</v>
      </c>
      <c r="C231" s="12">
        <f>IF((Startdatum),EOMONTH(C230,1))</f>
        <v>49826</v>
      </c>
      <c r="D231" s="13">
        <f t="shared" si="6"/>
        <v>15637.762459846586</v>
      </c>
      <c r="E231" s="14">
        <f>IF(AnzahlZahlungen&lt;&gt;"",IF(Tabelle1[[#This Row],[Startsaldo]]&lt;Rate,Tabelle1[[#This Row],[Startsaldo]],Rate),"")</f>
        <v>659.95573921665743</v>
      </c>
      <c r="F231" s="19"/>
      <c r="G231" s="13">
        <f>Tabelle1[[#This Row],[Planmässige Zahlung ]]+Tabelle1[[#This Row],[Sonderzahlung]]</f>
        <v>659.95573921665743</v>
      </c>
      <c r="H231" s="14">
        <f>Tabelle1[[#This Row],[Zahlung gesamt]]-Tabelle1[[#This Row],[Zinsleistung]]</f>
        <v>594.79839563396331</v>
      </c>
      <c r="I231" s="14">
        <f>IF(AnzahlZahlungen&lt;&gt;"",Tabelle1[[#This Row],[Startsaldo]]*Zinssatz/12,"")</f>
        <v>65.157343582694111</v>
      </c>
      <c r="J231" s="13">
        <f>IF(AnzahlZahlungen&lt;&gt;0,Tabelle1[[#This Row],[Startsaldo]]-Tabelle1[[#This Row],[Zahlung gesamt]],"")</f>
        <v>14977.806720629929</v>
      </c>
      <c r="K231" s="14">
        <f>K230+Tabelle1[[#This Row],[Zinsleistung]]</f>
        <v>57593.40373501063</v>
      </c>
    </row>
    <row r="232" spans="2:11" x14ac:dyDescent="0.25">
      <c r="B232" s="11">
        <f t="shared" si="7"/>
        <v>217</v>
      </c>
      <c r="C232" s="12">
        <f>IF((Startdatum),EOMONTH(C231,1))</f>
        <v>49856</v>
      </c>
      <c r="D232" s="13">
        <f t="shared" si="6"/>
        <v>15042.964064212623</v>
      </c>
      <c r="E232" s="14">
        <f>IF(AnzahlZahlungen&lt;&gt;"",IF(Tabelle1[[#This Row],[Startsaldo]]&lt;Rate,Tabelle1[[#This Row],[Startsaldo]],Rate),"")</f>
        <v>659.95573921665743</v>
      </c>
      <c r="F232" s="19"/>
      <c r="G232" s="13">
        <f>Tabelle1[[#This Row],[Planmässige Zahlung ]]+Tabelle1[[#This Row],[Sonderzahlung]]</f>
        <v>659.95573921665743</v>
      </c>
      <c r="H232" s="14">
        <f>Tabelle1[[#This Row],[Zahlung gesamt]]-Tabelle1[[#This Row],[Zinsleistung]]</f>
        <v>597.27672228243819</v>
      </c>
      <c r="I232" s="14">
        <f>IF(AnzahlZahlungen&lt;&gt;"",Tabelle1[[#This Row],[Startsaldo]]*Zinssatz/12,"")</f>
        <v>62.67901693421927</v>
      </c>
      <c r="J232" s="13">
        <f>IF(AnzahlZahlungen&lt;&gt;0,Tabelle1[[#This Row],[Startsaldo]]-Tabelle1[[#This Row],[Zahlung gesamt]],"")</f>
        <v>14383.008324995966</v>
      </c>
      <c r="K232" s="14">
        <f>K231+Tabelle1[[#This Row],[Zinsleistung]]</f>
        <v>57656.08275194485</v>
      </c>
    </row>
    <row r="233" spans="2:11" x14ac:dyDescent="0.25">
      <c r="B233" s="11">
        <f t="shared" si="7"/>
        <v>218</v>
      </c>
      <c r="C233" s="12">
        <f>IF((Startdatum),EOMONTH(C232,1))</f>
        <v>49887</v>
      </c>
      <c r="D233" s="13">
        <f t="shared" si="6"/>
        <v>14445.687341930185</v>
      </c>
      <c r="E233" s="14">
        <f>IF(AnzahlZahlungen&lt;&gt;"",IF(Tabelle1[[#This Row],[Startsaldo]]&lt;Rate,Tabelle1[[#This Row],[Startsaldo]],Rate),"")</f>
        <v>659.95573921665743</v>
      </c>
      <c r="F233" s="19"/>
      <c r="G233" s="13">
        <f>Tabelle1[[#This Row],[Planmässige Zahlung ]]+Tabelle1[[#This Row],[Sonderzahlung]]</f>
        <v>659.95573921665743</v>
      </c>
      <c r="H233" s="14">
        <f>Tabelle1[[#This Row],[Zahlung gesamt]]-Tabelle1[[#This Row],[Zinsleistung]]</f>
        <v>599.76537529194832</v>
      </c>
      <c r="I233" s="14">
        <f>IF(AnzahlZahlungen&lt;&gt;"",Tabelle1[[#This Row],[Startsaldo]]*Zinssatz/12,"")</f>
        <v>60.190363924709111</v>
      </c>
      <c r="J233" s="13">
        <f>IF(AnzahlZahlungen&lt;&gt;0,Tabelle1[[#This Row],[Startsaldo]]-Tabelle1[[#This Row],[Zahlung gesamt]],"")</f>
        <v>13785.731602713528</v>
      </c>
      <c r="K233" s="14">
        <f>K232+Tabelle1[[#This Row],[Zinsleistung]]</f>
        <v>57716.273115869561</v>
      </c>
    </row>
    <row r="234" spans="2:11" x14ac:dyDescent="0.25">
      <c r="B234" s="11">
        <f t="shared" si="7"/>
        <v>219</v>
      </c>
      <c r="C234" s="12">
        <f>IF((Startdatum),EOMONTH(C233,1))</f>
        <v>49918</v>
      </c>
      <c r="D234" s="13">
        <f t="shared" si="6"/>
        <v>13845.921966638236</v>
      </c>
      <c r="E234" s="14">
        <f>IF(AnzahlZahlungen&lt;&gt;"",IF(Tabelle1[[#This Row],[Startsaldo]]&lt;Rate,Tabelle1[[#This Row],[Startsaldo]],Rate),"")</f>
        <v>659.95573921665743</v>
      </c>
      <c r="F234" s="19"/>
      <c r="G234" s="13">
        <f>Tabelle1[[#This Row],[Planmässige Zahlung ]]+Tabelle1[[#This Row],[Sonderzahlung]]</f>
        <v>659.95573921665743</v>
      </c>
      <c r="H234" s="14">
        <f>Tabelle1[[#This Row],[Zahlung gesamt]]-Tabelle1[[#This Row],[Zinsleistung]]</f>
        <v>602.26439768899809</v>
      </c>
      <c r="I234" s="14">
        <f>IF(AnzahlZahlungen&lt;&gt;"",Tabelle1[[#This Row],[Startsaldo]]*Zinssatz/12,"")</f>
        <v>57.691341527659318</v>
      </c>
      <c r="J234" s="13">
        <f>IF(AnzahlZahlungen&lt;&gt;0,Tabelle1[[#This Row],[Startsaldo]]-Tabelle1[[#This Row],[Zahlung gesamt]],"")</f>
        <v>13185.966227421579</v>
      </c>
      <c r="K234" s="14">
        <f>K233+Tabelle1[[#This Row],[Zinsleistung]]</f>
        <v>57773.964457397218</v>
      </c>
    </row>
    <row r="235" spans="2:11" x14ac:dyDescent="0.25">
      <c r="B235" s="11">
        <f t="shared" si="7"/>
        <v>220</v>
      </c>
      <c r="C235" s="12">
        <f>IF((Startdatum),EOMONTH(C234,1))</f>
        <v>49948</v>
      </c>
      <c r="D235" s="13">
        <f t="shared" si="6"/>
        <v>13243.657568949238</v>
      </c>
      <c r="E235" s="14">
        <f>IF(AnzahlZahlungen&lt;&gt;"",IF(Tabelle1[[#This Row],[Startsaldo]]&lt;Rate,Tabelle1[[#This Row],[Startsaldo]],Rate),"")</f>
        <v>659.95573921665743</v>
      </c>
      <c r="F235" s="19"/>
      <c r="G235" s="13">
        <f>Tabelle1[[#This Row],[Planmässige Zahlung ]]+Tabelle1[[#This Row],[Sonderzahlung]]</f>
        <v>659.95573921665743</v>
      </c>
      <c r="H235" s="14">
        <f>Tabelle1[[#This Row],[Zahlung gesamt]]-Tabelle1[[#This Row],[Zinsleistung]]</f>
        <v>604.77383267936898</v>
      </c>
      <c r="I235" s="14">
        <f>IF(AnzahlZahlungen&lt;&gt;"",Tabelle1[[#This Row],[Startsaldo]]*Zinssatz/12,"")</f>
        <v>55.181906537288491</v>
      </c>
      <c r="J235" s="13">
        <f>IF(AnzahlZahlungen&lt;&gt;0,Tabelle1[[#This Row],[Startsaldo]]-Tabelle1[[#This Row],[Zahlung gesamt]],"")</f>
        <v>12583.701829732581</v>
      </c>
      <c r="K235" s="14">
        <f>K234+Tabelle1[[#This Row],[Zinsleistung]]</f>
        <v>57829.146363934509</v>
      </c>
    </row>
    <row r="236" spans="2:11" x14ac:dyDescent="0.25">
      <c r="B236" s="11">
        <f t="shared" si="7"/>
        <v>221</v>
      </c>
      <c r="C236" s="12">
        <f>IF((Startdatum),EOMONTH(C235,1))</f>
        <v>49979</v>
      </c>
      <c r="D236" s="13">
        <f t="shared" si="6"/>
        <v>12638.883736269869</v>
      </c>
      <c r="E236" s="14">
        <f>IF(AnzahlZahlungen&lt;&gt;"",IF(Tabelle1[[#This Row],[Startsaldo]]&lt;Rate,Tabelle1[[#This Row],[Startsaldo]],Rate),"")</f>
        <v>659.95573921665743</v>
      </c>
      <c r="F236" s="19"/>
      <c r="G236" s="13">
        <f>Tabelle1[[#This Row],[Planmässige Zahlung ]]+Tabelle1[[#This Row],[Sonderzahlung]]</f>
        <v>659.95573921665743</v>
      </c>
      <c r="H236" s="14">
        <f>Tabelle1[[#This Row],[Zahlung gesamt]]-Tabelle1[[#This Row],[Zinsleistung]]</f>
        <v>607.29372364886626</v>
      </c>
      <c r="I236" s="14">
        <f>IF(AnzahlZahlungen&lt;&gt;"",Tabelle1[[#This Row],[Startsaldo]]*Zinssatz/12,"")</f>
        <v>52.662015567791123</v>
      </c>
      <c r="J236" s="13">
        <f>IF(AnzahlZahlungen&lt;&gt;0,Tabelle1[[#This Row],[Startsaldo]]-Tabelle1[[#This Row],[Zahlung gesamt]],"")</f>
        <v>11978.927997053212</v>
      </c>
      <c r="K236" s="14">
        <f>K235+Tabelle1[[#This Row],[Zinsleistung]]</f>
        <v>57881.808379502298</v>
      </c>
    </row>
    <row r="237" spans="2:11" x14ac:dyDescent="0.25">
      <c r="B237" s="11">
        <f t="shared" si="7"/>
        <v>222</v>
      </c>
      <c r="C237" s="12">
        <f>IF((Startdatum),EOMONTH(C236,1))</f>
        <v>50009</v>
      </c>
      <c r="D237" s="13">
        <f t="shared" si="6"/>
        <v>12031.590012621002</v>
      </c>
      <c r="E237" s="14">
        <f>IF(AnzahlZahlungen&lt;&gt;"",IF(Tabelle1[[#This Row],[Startsaldo]]&lt;Rate,Tabelle1[[#This Row],[Startsaldo]],Rate),"")</f>
        <v>659.95573921665743</v>
      </c>
      <c r="F237" s="19"/>
      <c r="G237" s="13">
        <f>Tabelle1[[#This Row],[Planmässige Zahlung ]]+Tabelle1[[#This Row],[Sonderzahlung]]</f>
        <v>659.95573921665743</v>
      </c>
      <c r="H237" s="14">
        <f>Tabelle1[[#This Row],[Zahlung gesamt]]-Tabelle1[[#This Row],[Zinsleistung]]</f>
        <v>609.8241141640699</v>
      </c>
      <c r="I237" s="14">
        <f>IF(AnzahlZahlungen&lt;&gt;"",Tabelle1[[#This Row],[Startsaldo]]*Zinssatz/12,"")</f>
        <v>50.131625052587509</v>
      </c>
      <c r="J237" s="13">
        <f>IF(AnzahlZahlungen&lt;&gt;0,Tabelle1[[#This Row],[Startsaldo]]-Tabelle1[[#This Row],[Zahlung gesamt]],"")</f>
        <v>11371.634273404345</v>
      </c>
      <c r="K237" s="14">
        <f>K236+Tabelle1[[#This Row],[Zinsleistung]]</f>
        <v>57931.940004554883</v>
      </c>
    </row>
    <row r="238" spans="2:11" x14ac:dyDescent="0.25">
      <c r="B238" s="11">
        <f t="shared" si="7"/>
        <v>223</v>
      </c>
      <c r="C238" s="12">
        <f>IF((Startdatum),EOMONTH(C237,1))</f>
        <v>50040</v>
      </c>
      <c r="D238" s="13">
        <f t="shared" si="6"/>
        <v>11421.765898456932</v>
      </c>
      <c r="E238" s="14">
        <f>IF(AnzahlZahlungen&lt;&gt;"",IF(Tabelle1[[#This Row],[Startsaldo]]&lt;Rate,Tabelle1[[#This Row],[Startsaldo]],Rate),"")</f>
        <v>659.95573921665743</v>
      </c>
      <c r="F238" s="19"/>
      <c r="G238" s="13">
        <f>Tabelle1[[#This Row],[Planmässige Zahlung ]]+Tabelle1[[#This Row],[Sonderzahlung]]</f>
        <v>659.95573921665743</v>
      </c>
      <c r="H238" s="14">
        <f>Tabelle1[[#This Row],[Zahlung gesamt]]-Tabelle1[[#This Row],[Zinsleistung]]</f>
        <v>612.36504797308692</v>
      </c>
      <c r="I238" s="14">
        <f>IF(AnzahlZahlungen&lt;&gt;"",Tabelle1[[#This Row],[Startsaldo]]*Zinssatz/12,"")</f>
        <v>47.590691243570546</v>
      </c>
      <c r="J238" s="13">
        <f>IF(AnzahlZahlungen&lt;&gt;0,Tabelle1[[#This Row],[Startsaldo]]-Tabelle1[[#This Row],[Zahlung gesamt]],"")</f>
        <v>10761.810159240275</v>
      </c>
      <c r="K238" s="14">
        <f>K237+Tabelle1[[#This Row],[Zinsleistung]]</f>
        <v>57979.53069579845</v>
      </c>
    </row>
    <row r="239" spans="2:11" x14ac:dyDescent="0.25">
      <c r="B239" s="11">
        <f t="shared" si="7"/>
        <v>224</v>
      </c>
      <c r="C239" s="12">
        <f>IF((Startdatum),EOMONTH(C238,1))</f>
        <v>50071</v>
      </c>
      <c r="D239" s="13">
        <f t="shared" si="6"/>
        <v>10809.400850483844</v>
      </c>
      <c r="E239" s="14">
        <f>IF(AnzahlZahlungen&lt;&gt;"",IF(Tabelle1[[#This Row],[Startsaldo]]&lt;Rate,Tabelle1[[#This Row],[Startsaldo]],Rate),"")</f>
        <v>659.95573921665743</v>
      </c>
      <c r="F239" s="19"/>
      <c r="G239" s="13">
        <f>Tabelle1[[#This Row],[Planmässige Zahlung ]]+Tabelle1[[#This Row],[Sonderzahlung]]</f>
        <v>659.95573921665743</v>
      </c>
      <c r="H239" s="14">
        <f>Tabelle1[[#This Row],[Zahlung gesamt]]-Tabelle1[[#This Row],[Zinsleistung]]</f>
        <v>614.91656900630812</v>
      </c>
      <c r="I239" s="14">
        <f>IF(AnzahlZahlungen&lt;&gt;"",Tabelle1[[#This Row],[Startsaldo]]*Zinssatz/12,"")</f>
        <v>45.039170210349347</v>
      </c>
      <c r="J239" s="13">
        <f>IF(AnzahlZahlungen&lt;&gt;0,Tabelle1[[#This Row],[Startsaldo]]-Tabelle1[[#This Row],[Zahlung gesamt]],"")</f>
        <v>10149.445111267187</v>
      </c>
      <c r="K239" s="14">
        <f>K238+Tabelle1[[#This Row],[Zinsleistung]]</f>
        <v>58024.569866008802</v>
      </c>
    </row>
    <row r="240" spans="2:11" x14ac:dyDescent="0.25">
      <c r="B240" s="11">
        <f t="shared" si="7"/>
        <v>225</v>
      </c>
      <c r="C240" s="12">
        <f>IF((Startdatum),EOMONTH(C239,1))</f>
        <v>50099</v>
      </c>
      <c r="D240" s="13">
        <f t="shared" si="6"/>
        <v>10194.484281477537</v>
      </c>
      <c r="E240" s="14">
        <f>IF(AnzahlZahlungen&lt;&gt;"",IF(Tabelle1[[#This Row],[Startsaldo]]&lt;Rate,Tabelle1[[#This Row],[Startsaldo]],Rate),"")</f>
        <v>659.95573921665743</v>
      </c>
      <c r="F240" s="19"/>
      <c r="G240" s="13">
        <f>Tabelle1[[#This Row],[Planmässige Zahlung ]]+Tabelle1[[#This Row],[Sonderzahlung]]</f>
        <v>659.95573921665743</v>
      </c>
      <c r="H240" s="14">
        <f>Tabelle1[[#This Row],[Zahlung gesamt]]-Tabelle1[[#This Row],[Zinsleistung]]</f>
        <v>617.47872137716774</v>
      </c>
      <c r="I240" s="14">
        <f>IF(AnzahlZahlungen&lt;&gt;"",Tabelle1[[#This Row],[Startsaldo]]*Zinssatz/12,"")</f>
        <v>42.47701783948974</v>
      </c>
      <c r="J240" s="13">
        <f>IF(AnzahlZahlungen&lt;&gt;0,Tabelle1[[#This Row],[Startsaldo]]-Tabelle1[[#This Row],[Zahlung gesamt]],"")</f>
        <v>9534.5285422608795</v>
      </c>
      <c r="K240" s="14">
        <f>K239+Tabelle1[[#This Row],[Zinsleistung]]</f>
        <v>58067.046883848292</v>
      </c>
    </row>
    <row r="241" spans="2:11" x14ac:dyDescent="0.25">
      <c r="B241" s="11">
        <f t="shared" si="7"/>
        <v>226</v>
      </c>
      <c r="C241" s="12">
        <f>IF((Startdatum),EOMONTH(C240,1))</f>
        <v>50130</v>
      </c>
      <c r="D241" s="13">
        <f t="shared" si="6"/>
        <v>9577.0055601003696</v>
      </c>
      <c r="E241" s="14">
        <f>IF(AnzahlZahlungen&lt;&gt;"",IF(Tabelle1[[#This Row],[Startsaldo]]&lt;Rate,Tabelle1[[#This Row],[Startsaldo]],Rate),"")</f>
        <v>659.95573921665743</v>
      </c>
      <c r="F241" s="19"/>
      <c r="G241" s="13">
        <f>Tabelle1[[#This Row],[Planmässige Zahlung ]]+Tabelle1[[#This Row],[Sonderzahlung]]</f>
        <v>659.95573921665743</v>
      </c>
      <c r="H241" s="14">
        <f>Tabelle1[[#This Row],[Zahlung gesamt]]-Tabelle1[[#This Row],[Zinsleistung]]</f>
        <v>620.05154938290593</v>
      </c>
      <c r="I241" s="14">
        <f>IF(AnzahlZahlungen&lt;&gt;"",Tabelle1[[#This Row],[Startsaldo]]*Zinssatz/12,"")</f>
        <v>39.904189833751538</v>
      </c>
      <c r="J241" s="13">
        <f>IF(AnzahlZahlungen&lt;&gt;0,Tabelle1[[#This Row],[Startsaldo]]-Tabelle1[[#This Row],[Zahlung gesamt]],"")</f>
        <v>8917.0498208837125</v>
      </c>
      <c r="K241" s="14">
        <f>K240+Tabelle1[[#This Row],[Zinsleistung]]</f>
        <v>58106.951073682045</v>
      </c>
    </row>
    <row r="242" spans="2:11" x14ac:dyDescent="0.25">
      <c r="B242" s="11">
        <f t="shared" si="7"/>
        <v>227</v>
      </c>
      <c r="C242" s="12">
        <f>IF((Startdatum),EOMONTH(C241,1))</f>
        <v>50160</v>
      </c>
      <c r="D242" s="13">
        <f t="shared" si="6"/>
        <v>8956.9540107174635</v>
      </c>
      <c r="E242" s="14">
        <f>IF(AnzahlZahlungen&lt;&gt;"",IF(Tabelle1[[#This Row],[Startsaldo]]&lt;Rate,Tabelle1[[#This Row],[Startsaldo]],Rate),"")</f>
        <v>659.95573921665743</v>
      </c>
      <c r="F242" s="19"/>
      <c r="G242" s="13">
        <f>Tabelle1[[#This Row],[Planmässige Zahlung ]]+Tabelle1[[#This Row],[Sonderzahlung]]</f>
        <v>659.95573921665743</v>
      </c>
      <c r="H242" s="14">
        <f>Tabelle1[[#This Row],[Zahlung gesamt]]-Tabelle1[[#This Row],[Zinsleistung]]</f>
        <v>622.63509750533467</v>
      </c>
      <c r="I242" s="14">
        <f>IF(AnzahlZahlungen&lt;&gt;"",Tabelle1[[#This Row],[Startsaldo]]*Zinssatz/12,"")</f>
        <v>37.320641711322764</v>
      </c>
      <c r="J242" s="13">
        <f>IF(AnzahlZahlungen&lt;&gt;0,Tabelle1[[#This Row],[Startsaldo]]-Tabelle1[[#This Row],[Zahlung gesamt]],"")</f>
        <v>8296.9982715008064</v>
      </c>
      <c r="K242" s="14">
        <f>K241+Tabelle1[[#This Row],[Zinsleistung]]</f>
        <v>58144.27171539337</v>
      </c>
    </row>
    <row r="243" spans="2:11" x14ac:dyDescent="0.25">
      <c r="B243" s="11">
        <f t="shared" si="7"/>
        <v>228</v>
      </c>
      <c r="C243" s="12">
        <f>IF((Startdatum),EOMONTH(C242,1))</f>
        <v>50191</v>
      </c>
      <c r="D243" s="13">
        <f t="shared" si="6"/>
        <v>8334.3189132121297</v>
      </c>
      <c r="E243" s="14">
        <f>IF(AnzahlZahlungen&lt;&gt;"",IF(Tabelle1[[#This Row],[Startsaldo]]&lt;Rate,Tabelle1[[#This Row],[Startsaldo]],Rate),"")</f>
        <v>659.95573921665743</v>
      </c>
      <c r="F243" s="19"/>
      <c r="G243" s="13">
        <f>Tabelle1[[#This Row],[Planmässige Zahlung ]]+Tabelle1[[#This Row],[Sonderzahlung]]</f>
        <v>659.95573921665743</v>
      </c>
      <c r="H243" s="14">
        <f>Tabelle1[[#This Row],[Zahlung gesamt]]-Tabelle1[[#This Row],[Zinsleistung]]</f>
        <v>625.22941041160686</v>
      </c>
      <c r="I243" s="14">
        <f>IF(AnzahlZahlungen&lt;&gt;"",Tabelle1[[#This Row],[Startsaldo]]*Zinssatz/12,"")</f>
        <v>34.726328805050542</v>
      </c>
      <c r="J243" s="13">
        <f>IF(AnzahlZahlungen&lt;&gt;0,Tabelle1[[#This Row],[Startsaldo]]-Tabelle1[[#This Row],[Zahlung gesamt]],"")</f>
        <v>7674.3631739954726</v>
      </c>
      <c r="K243" s="14">
        <f>K242+Tabelle1[[#This Row],[Zinsleistung]]</f>
        <v>58178.998044198423</v>
      </c>
    </row>
    <row r="244" spans="2:11" x14ac:dyDescent="0.25">
      <c r="B244" s="11">
        <f t="shared" si="7"/>
        <v>229</v>
      </c>
      <c r="C244" s="12">
        <f>IF((Startdatum),EOMONTH(C243,1))</f>
        <v>50221</v>
      </c>
      <c r="D244" s="13">
        <f t="shared" si="6"/>
        <v>7709.0895028005225</v>
      </c>
      <c r="E244" s="14">
        <f>IF(AnzahlZahlungen&lt;&gt;"",IF(Tabelle1[[#This Row],[Startsaldo]]&lt;Rate,Tabelle1[[#This Row],[Startsaldo]],Rate),"")</f>
        <v>659.95573921665743</v>
      </c>
      <c r="F244" s="19"/>
      <c r="G244" s="13">
        <f>Tabelle1[[#This Row],[Planmässige Zahlung ]]+Tabelle1[[#This Row],[Sonderzahlung]]</f>
        <v>659.95573921665743</v>
      </c>
      <c r="H244" s="14">
        <f>Tabelle1[[#This Row],[Zahlung gesamt]]-Tabelle1[[#This Row],[Zinsleistung]]</f>
        <v>627.83453295498862</v>
      </c>
      <c r="I244" s="14">
        <f>IF(AnzahlZahlungen&lt;&gt;"",Tabelle1[[#This Row],[Startsaldo]]*Zinssatz/12,"")</f>
        <v>32.121206261668846</v>
      </c>
      <c r="J244" s="13">
        <f>IF(AnzahlZahlungen&lt;&gt;0,Tabelle1[[#This Row],[Startsaldo]]-Tabelle1[[#This Row],[Zahlung gesamt]],"")</f>
        <v>7049.1337635838654</v>
      </c>
      <c r="K244" s="14">
        <f>K243+Tabelle1[[#This Row],[Zinsleistung]]</f>
        <v>58211.119250460091</v>
      </c>
    </row>
    <row r="245" spans="2:11" x14ac:dyDescent="0.25">
      <c r="B245" s="11">
        <f t="shared" si="7"/>
        <v>230</v>
      </c>
      <c r="C245" s="12">
        <f>IF((Startdatum),EOMONTH(C244,1))</f>
        <v>50252</v>
      </c>
      <c r="D245" s="13">
        <f t="shared" si="6"/>
        <v>7081.2549698455341</v>
      </c>
      <c r="E245" s="14">
        <f>IF(AnzahlZahlungen&lt;&gt;"",IF(Tabelle1[[#This Row],[Startsaldo]]&lt;Rate,Tabelle1[[#This Row],[Startsaldo]],Rate),"")</f>
        <v>659.95573921665743</v>
      </c>
      <c r="F245" s="19"/>
      <c r="G245" s="13">
        <f>Tabelle1[[#This Row],[Planmässige Zahlung ]]+Tabelle1[[#This Row],[Sonderzahlung]]</f>
        <v>659.95573921665743</v>
      </c>
      <c r="H245" s="14">
        <f>Tabelle1[[#This Row],[Zahlung gesamt]]-Tabelle1[[#This Row],[Zinsleistung]]</f>
        <v>630.45051017563435</v>
      </c>
      <c r="I245" s="14">
        <f>IF(AnzahlZahlungen&lt;&gt;"",Tabelle1[[#This Row],[Startsaldo]]*Zinssatz/12,"")</f>
        <v>29.50522904102306</v>
      </c>
      <c r="J245" s="13">
        <f>IF(AnzahlZahlungen&lt;&gt;0,Tabelle1[[#This Row],[Startsaldo]]-Tabelle1[[#This Row],[Zahlung gesamt]],"")</f>
        <v>6421.299230628877</v>
      </c>
      <c r="K245" s="14">
        <f>K244+Tabelle1[[#This Row],[Zinsleistung]]</f>
        <v>58240.624479501115</v>
      </c>
    </row>
    <row r="246" spans="2:11" x14ac:dyDescent="0.25">
      <c r="B246" s="11">
        <f t="shared" si="7"/>
        <v>231</v>
      </c>
      <c r="C246" s="12">
        <f>IF((Startdatum),EOMONTH(C245,1))</f>
        <v>50283</v>
      </c>
      <c r="D246" s="13">
        <f t="shared" si="6"/>
        <v>6450.8044596699001</v>
      </c>
      <c r="E246" s="14">
        <f>IF(AnzahlZahlungen&lt;&gt;"",IF(Tabelle1[[#This Row],[Startsaldo]]&lt;Rate,Tabelle1[[#This Row],[Startsaldo]],Rate),"")</f>
        <v>659.95573921665743</v>
      </c>
      <c r="F246" s="19"/>
      <c r="G246" s="13">
        <f>Tabelle1[[#This Row],[Planmässige Zahlung ]]+Tabelle1[[#This Row],[Sonderzahlung]]</f>
        <v>659.95573921665743</v>
      </c>
      <c r="H246" s="14">
        <f>Tabelle1[[#This Row],[Zahlung gesamt]]-Tabelle1[[#This Row],[Zinsleistung]]</f>
        <v>633.07738730136623</v>
      </c>
      <c r="I246" s="14">
        <f>IF(AnzahlZahlungen&lt;&gt;"",Tabelle1[[#This Row],[Startsaldo]]*Zinssatz/12,"")</f>
        <v>26.878351915291251</v>
      </c>
      <c r="J246" s="13">
        <f>IF(AnzahlZahlungen&lt;&gt;0,Tabelle1[[#This Row],[Startsaldo]]-Tabelle1[[#This Row],[Zahlung gesamt]],"")</f>
        <v>5790.848720453243</v>
      </c>
      <c r="K246" s="14">
        <f>K245+Tabelle1[[#This Row],[Zinsleistung]]</f>
        <v>58267.502831416408</v>
      </c>
    </row>
    <row r="247" spans="2:11" x14ac:dyDescent="0.25">
      <c r="B247" s="11">
        <f t="shared" si="7"/>
        <v>232</v>
      </c>
      <c r="C247" s="12">
        <f>IF((Startdatum),EOMONTH(C246,1))</f>
        <v>50313</v>
      </c>
      <c r="D247" s="13">
        <f t="shared" si="6"/>
        <v>5817.7270723685342</v>
      </c>
      <c r="E247" s="14">
        <f>IF(AnzahlZahlungen&lt;&gt;"",IF(Tabelle1[[#This Row],[Startsaldo]]&lt;Rate,Tabelle1[[#This Row],[Startsaldo]],Rate),"")</f>
        <v>659.95573921665743</v>
      </c>
      <c r="F247" s="19"/>
      <c r="G247" s="13">
        <f>Tabelle1[[#This Row],[Planmässige Zahlung ]]+Tabelle1[[#This Row],[Sonderzahlung]]</f>
        <v>659.95573921665743</v>
      </c>
      <c r="H247" s="14">
        <f>Tabelle1[[#This Row],[Zahlung gesamt]]-Tabelle1[[#This Row],[Zinsleistung]]</f>
        <v>635.71520974845521</v>
      </c>
      <c r="I247" s="14">
        <f>IF(AnzahlZahlungen&lt;&gt;"",Tabelle1[[#This Row],[Startsaldo]]*Zinssatz/12,"")</f>
        <v>24.240529468202226</v>
      </c>
      <c r="J247" s="13">
        <f>IF(AnzahlZahlungen&lt;&gt;0,Tabelle1[[#This Row],[Startsaldo]]-Tabelle1[[#This Row],[Zahlung gesamt]],"")</f>
        <v>5157.7713331518771</v>
      </c>
      <c r="K247" s="14">
        <f>K246+Tabelle1[[#This Row],[Zinsleistung]]</f>
        <v>58291.743360884611</v>
      </c>
    </row>
    <row r="248" spans="2:11" x14ac:dyDescent="0.25">
      <c r="B248" s="11">
        <f t="shared" si="7"/>
        <v>233</v>
      </c>
      <c r="C248" s="12">
        <f>IF((Startdatum),EOMONTH(C247,1))</f>
        <v>50344</v>
      </c>
      <c r="D248" s="13">
        <f t="shared" si="6"/>
        <v>5182.0118626200792</v>
      </c>
      <c r="E248" s="14">
        <f>IF(AnzahlZahlungen&lt;&gt;"",IF(Tabelle1[[#This Row],[Startsaldo]]&lt;Rate,Tabelle1[[#This Row],[Startsaldo]],Rate),"")</f>
        <v>659.95573921665743</v>
      </c>
      <c r="F248" s="19"/>
      <c r="G248" s="13">
        <f>Tabelle1[[#This Row],[Planmässige Zahlung ]]+Tabelle1[[#This Row],[Sonderzahlung]]</f>
        <v>659.95573921665743</v>
      </c>
      <c r="H248" s="14">
        <f>Tabelle1[[#This Row],[Zahlung gesamt]]-Tabelle1[[#This Row],[Zinsleistung]]</f>
        <v>638.36402312240716</v>
      </c>
      <c r="I248" s="14">
        <f>IF(AnzahlZahlungen&lt;&gt;"",Tabelle1[[#This Row],[Startsaldo]]*Zinssatz/12,"")</f>
        <v>21.59171609425033</v>
      </c>
      <c r="J248" s="13">
        <f>IF(AnzahlZahlungen&lt;&gt;0,Tabelle1[[#This Row],[Startsaldo]]-Tabelle1[[#This Row],[Zahlung gesamt]],"")</f>
        <v>4522.0561234034221</v>
      </c>
      <c r="K248" s="14">
        <f>K247+Tabelle1[[#This Row],[Zinsleistung]]</f>
        <v>58313.335076978859</v>
      </c>
    </row>
    <row r="249" spans="2:11" x14ac:dyDescent="0.25">
      <c r="B249" s="11">
        <f t="shared" si="7"/>
        <v>234</v>
      </c>
      <c r="C249" s="12">
        <f>IF((Startdatum),EOMONTH(C248,1))</f>
        <v>50374</v>
      </c>
      <c r="D249" s="13">
        <f t="shared" si="6"/>
        <v>4543.6478394976721</v>
      </c>
      <c r="E249" s="14">
        <f>IF(AnzahlZahlungen&lt;&gt;"",IF(Tabelle1[[#This Row],[Startsaldo]]&lt;Rate,Tabelle1[[#This Row],[Startsaldo]],Rate),"")</f>
        <v>659.95573921665743</v>
      </c>
      <c r="F249" s="19"/>
      <c r="G249" s="13">
        <f>Tabelle1[[#This Row],[Planmässige Zahlung ]]+Tabelle1[[#This Row],[Sonderzahlung]]</f>
        <v>659.95573921665743</v>
      </c>
      <c r="H249" s="14">
        <f>Tabelle1[[#This Row],[Zahlung gesamt]]-Tabelle1[[#This Row],[Zinsleistung]]</f>
        <v>641.02387321875051</v>
      </c>
      <c r="I249" s="14">
        <f>IF(AnzahlZahlungen&lt;&gt;"",Tabelle1[[#This Row],[Startsaldo]]*Zinssatz/12,"")</f>
        <v>18.931865997906968</v>
      </c>
      <c r="J249" s="13">
        <f>IF(AnzahlZahlungen&lt;&gt;0,Tabelle1[[#This Row],[Startsaldo]]-Tabelle1[[#This Row],[Zahlung gesamt]],"")</f>
        <v>3883.6921002810145</v>
      </c>
      <c r="K249" s="14">
        <f>K248+Tabelle1[[#This Row],[Zinsleistung]]</f>
        <v>58332.266942976763</v>
      </c>
    </row>
    <row r="250" spans="2:11" x14ac:dyDescent="0.25">
      <c r="B250" s="11">
        <f t="shared" si="7"/>
        <v>235</v>
      </c>
      <c r="C250" s="12">
        <f>IF((Startdatum),EOMONTH(C249,1))</f>
        <v>50405</v>
      </c>
      <c r="D250" s="13">
        <f t="shared" si="6"/>
        <v>3902.6239662789217</v>
      </c>
      <c r="E250" s="14">
        <f>IF(AnzahlZahlungen&lt;&gt;"",IF(Tabelle1[[#This Row],[Startsaldo]]&lt;Rate,Tabelle1[[#This Row],[Startsaldo]],Rate),"")</f>
        <v>659.95573921665743</v>
      </c>
      <c r="F250" s="19"/>
      <c r="G250" s="13">
        <f>Tabelle1[[#This Row],[Planmässige Zahlung ]]+Tabelle1[[#This Row],[Sonderzahlung]]</f>
        <v>659.95573921665743</v>
      </c>
      <c r="H250" s="14">
        <f>Tabelle1[[#This Row],[Zahlung gesamt]]-Tabelle1[[#This Row],[Zinsleistung]]</f>
        <v>643.69480602382862</v>
      </c>
      <c r="I250" s="14">
        <f>IF(AnzahlZahlungen&lt;&gt;"",Tabelle1[[#This Row],[Startsaldo]]*Zinssatz/12,"")</f>
        <v>16.260933192828841</v>
      </c>
      <c r="J250" s="13">
        <f>IF(AnzahlZahlungen&lt;&gt;0,Tabelle1[[#This Row],[Startsaldo]]-Tabelle1[[#This Row],[Zahlung gesamt]],"")</f>
        <v>3242.6682270622641</v>
      </c>
      <c r="K250" s="14">
        <f>K249+Tabelle1[[#This Row],[Zinsleistung]]</f>
        <v>58348.527876169595</v>
      </c>
    </row>
    <row r="251" spans="2:11" x14ac:dyDescent="0.25">
      <c r="B251" s="11">
        <f t="shared" si="7"/>
        <v>236</v>
      </c>
      <c r="C251" s="12">
        <f>IF((Startdatum),EOMONTH(C250,1))</f>
        <v>50436</v>
      </c>
      <c r="D251" s="13">
        <f t="shared" si="6"/>
        <v>3258.9291602550929</v>
      </c>
      <c r="E251" s="14">
        <f>IF(AnzahlZahlungen&lt;&gt;"",IF(Tabelle1[[#This Row],[Startsaldo]]&lt;Rate,Tabelle1[[#This Row],[Startsaldo]],Rate),"")</f>
        <v>659.95573921665743</v>
      </c>
      <c r="F251" s="19"/>
      <c r="G251" s="13">
        <f>Tabelle1[[#This Row],[Planmässige Zahlung ]]+Tabelle1[[#This Row],[Sonderzahlung]]</f>
        <v>659.95573921665743</v>
      </c>
      <c r="H251" s="14">
        <f>Tabelle1[[#This Row],[Zahlung gesamt]]-Tabelle1[[#This Row],[Zinsleistung]]</f>
        <v>646.37686771559459</v>
      </c>
      <c r="I251" s="14">
        <f>IF(AnzahlZahlungen&lt;&gt;"",Tabelle1[[#This Row],[Startsaldo]]*Zinssatz/12,"")</f>
        <v>13.578871501062887</v>
      </c>
      <c r="J251" s="13">
        <f>IF(AnzahlZahlungen&lt;&gt;0,Tabelle1[[#This Row],[Startsaldo]]-Tabelle1[[#This Row],[Zahlung gesamt]],"")</f>
        <v>2598.9734210384354</v>
      </c>
      <c r="K251" s="14">
        <f>K250+Tabelle1[[#This Row],[Zinsleistung]]</f>
        <v>58362.106747670659</v>
      </c>
    </row>
    <row r="252" spans="2:11" x14ac:dyDescent="0.25">
      <c r="B252" s="11">
        <f t="shared" si="7"/>
        <v>237</v>
      </c>
      <c r="C252" s="12">
        <f>IF((Startdatum),EOMONTH(C251,1))</f>
        <v>50464</v>
      </c>
      <c r="D252" s="13">
        <f t="shared" si="6"/>
        <v>2612.5522925394985</v>
      </c>
      <c r="E252" s="14">
        <f>IF(AnzahlZahlungen&lt;&gt;"",IF(Tabelle1[[#This Row],[Startsaldo]]&lt;Rate,Tabelle1[[#This Row],[Startsaldo]],Rate),"")</f>
        <v>659.95573921665743</v>
      </c>
      <c r="F252" s="19"/>
      <c r="G252" s="13">
        <f>Tabelle1[[#This Row],[Planmässige Zahlung ]]+Tabelle1[[#This Row],[Sonderzahlung]]</f>
        <v>659.95573921665743</v>
      </c>
      <c r="H252" s="14">
        <f>Tabelle1[[#This Row],[Zahlung gesamt]]-Tabelle1[[#This Row],[Zinsleistung]]</f>
        <v>649.07010466440954</v>
      </c>
      <c r="I252" s="14">
        <f>IF(AnzahlZahlungen&lt;&gt;"",Tabelle1[[#This Row],[Startsaldo]]*Zinssatz/12,"")</f>
        <v>10.885634552247909</v>
      </c>
      <c r="J252" s="13">
        <f>IF(AnzahlZahlungen&lt;&gt;0,Tabelle1[[#This Row],[Startsaldo]]-Tabelle1[[#This Row],[Zahlung gesamt]],"")</f>
        <v>1952.5965533228409</v>
      </c>
      <c r="K252" s="14">
        <f>K251+Tabelle1[[#This Row],[Zinsleistung]]</f>
        <v>58372.99238222291</v>
      </c>
    </row>
    <row r="253" spans="2:11" x14ac:dyDescent="0.25">
      <c r="B253" s="11">
        <f t="shared" si="7"/>
        <v>238</v>
      </c>
      <c r="C253" s="12">
        <f>IF((Startdatum),EOMONTH(C252,1))</f>
        <v>50495</v>
      </c>
      <c r="D253" s="13">
        <f t="shared" si="6"/>
        <v>1963.482187875089</v>
      </c>
      <c r="E253" s="14">
        <f>IF(AnzahlZahlungen&lt;&gt;"",IF(Tabelle1[[#This Row],[Startsaldo]]&lt;Rate,Tabelle1[[#This Row],[Startsaldo]],Rate),"")</f>
        <v>659.95573921665743</v>
      </c>
      <c r="F253" s="19"/>
      <c r="G253" s="13">
        <f>Tabelle1[[#This Row],[Planmässige Zahlung ]]+Tabelle1[[#This Row],[Sonderzahlung]]</f>
        <v>659.95573921665743</v>
      </c>
      <c r="H253" s="14">
        <f>Tabelle1[[#This Row],[Zahlung gesamt]]-Tabelle1[[#This Row],[Zinsleistung]]</f>
        <v>651.77456343384461</v>
      </c>
      <c r="I253" s="14">
        <f>IF(AnzahlZahlungen&lt;&gt;"",Tabelle1[[#This Row],[Startsaldo]]*Zinssatz/12,"")</f>
        <v>8.1811757828128719</v>
      </c>
      <c r="J253" s="13">
        <f>IF(AnzahlZahlungen&lt;&gt;0,Tabelle1[[#This Row],[Startsaldo]]-Tabelle1[[#This Row],[Zahlung gesamt]],"")</f>
        <v>1303.5264486584315</v>
      </c>
      <c r="K253" s="14">
        <f>K252+Tabelle1[[#This Row],[Zinsleistung]]</f>
        <v>58381.173558005721</v>
      </c>
    </row>
    <row r="254" spans="2:11" x14ac:dyDescent="0.25">
      <c r="B254" s="11">
        <f t="shared" si="7"/>
        <v>239</v>
      </c>
      <c r="C254" s="12">
        <f>IF((Startdatum),EOMONTH(C253,1))</f>
        <v>50525</v>
      </c>
      <c r="D254" s="13">
        <f t="shared" si="6"/>
        <v>1311.7076244412444</v>
      </c>
      <c r="E254" s="14">
        <f>IF(AnzahlZahlungen&lt;&gt;"",IF(Tabelle1[[#This Row],[Startsaldo]]&lt;Rate,Tabelle1[[#This Row],[Startsaldo]],Rate),"")</f>
        <v>659.95573921665743</v>
      </c>
      <c r="F254" s="19"/>
      <c r="G254" s="13">
        <f>Tabelle1[[#This Row],[Planmässige Zahlung ]]+Tabelle1[[#This Row],[Sonderzahlung]]</f>
        <v>659.95573921665743</v>
      </c>
      <c r="H254" s="14">
        <f>Tabelle1[[#This Row],[Zahlung gesamt]]-Tabelle1[[#This Row],[Zinsleistung]]</f>
        <v>654.49029078148556</v>
      </c>
      <c r="I254" s="14">
        <f>IF(AnzahlZahlungen&lt;&gt;"",Tabelle1[[#This Row],[Startsaldo]]*Zinssatz/12,"")</f>
        <v>5.4654484351718517</v>
      </c>
      <c r="J254" s="13">
        <f>IF(AnzahlZahlungen&lt;&gt;0,Tabelle1[[#This Row],[Startsaldo]]-Tabelle1[[#This Row],[Zahlung gesamt]],"")</f>
        <v>651.751885224587</v>
      </c>
      <c r="K254" s="14">
        <f>K253+Tabelle1[[#This Row],[Zinsleistung]]</f>
        <v>58386.639006440892</v>
      </c>
    </row>
    <row r="255" spans="2:11" x14ac:dyDescent="0.25">
      <c r="B255" s="11">
        <f t="shared" si="7"/>
        <v>240</v>
      </c>
      <c r="C255" s="12">
        <f>IF((Startdatum),EOMONTH(C254,1))</f>
        <v>50556</v>
      </c>
      <c r="D255" s="13">
        <f t="shared" si="6"/>
        <v>657.21733365975888</v>
      </c>
      <c r="E255" s="14">
        <f>IF(AnzahlZahlungen&lt;&gt;"",IF(Tabelle1[[#This Row],[Startsaldo]]&lt;Rate,Tabelle1[[#This Row],[Startsaldo]],Rate),"")</f>
        <v>657.21733365975888</v>
      </c>
      <c r="F255" s="19"/>
      <c r="G255" s="13">
        <f>Tabelle1[[#This Row],[Planmässige Zahlung ]]+Tabelle1[[#This Row],[Sonderzahlung]]</f>
        <v>657.21733365975888</v>
      </c>
      <c r="H255" s="14">
        <f>Tabelle1[[#This Row],[Zahlung gesamt]]-Tabelle1[[#This Row],[Zinsleistung]]</f>
        <v>654.47892810284327</v>
      </c>
      <c r="I255" s="14">
        <f>IF(AnzahlZahlungen&lt;&gt;"",Tabelle1[[#This Row],[Startsaldo]]*Zinssatz/12,"")</f>
        <v>2.7384055569156622</v>
      </c>
      <c r="J255" s="13">
        <f>IF(AnzahlZahlungen&lt;&gt;0,Tabelle1[[#This Row],[Startsaldo]]-Tabelle1[[#This Row],[Zahlung gesamt]],"")</f>
        <v>0</v>
      </c>
      <c r="K255" s="14">
        <f>K254+Tabelle1[[#This Row],[Zinsleistung]]</f>
        <v>58389.377411997804</v>
      </c>
    </row>
    <row r="256" spans="2:11" x14ac:dyDescent="0.25">
      <c r="B256" s="11">
        <f t="shared" si="7"/>
        <v>241</v>
      </c>
      <c r="C256" s="12">
        <f>IF((Startdatum),EOMONTH(C255,1))</f>
        <v>50586</v>
      </c>
      <c r="D256" s="13">
        <f t="shared" si="6"/>
        <v>0</v>
      </c>
      <c r="E256" s="14">
        <f>IF(AnzahlZahlungen&lt;&gt;"",IF(Tabelle1[[#This Row],[Startsaldo]]&lt;Rate,Tabelle1[[#This Row],[Startsaldo]],Rate),"")</f>
        <v>0</v>
      </c>
      <c r="F256" s="19"/>
      <c r="G256" s="13">
        <f>Tabelle1[[#This Row],[Planmässige Zahlung ]]+Tabelle1[[#This Row],[Sonderzahlung]]</f>
        <v>0</v>
      </c>
      <c r="H256" s="14">
        <f>Tabelle1[[#This Row],[Zahlung gesamt]]-Tabelle1[[#This Row],[Zinsleistung]]</f>
        <v>0</v>
      </c>
      <c r="I256" s="14">
        <f>IF(AnzahlZahlungen&lt;&gt;"",Tabelle1[[#This Row],[Startsaldo]]*Zinssatz/12,"")</f>
        <v>0</v>
      </c>
      <c r="J256" s="13">
        <f>IF(AnzahlZahlungen&lt;&gt;0,Tabelle1[[#This Row],[Startsaldo]]-Tabelle1[[#This Row],[Zahlung gesamt]],"")</f>
        <v>0</v>
      </c>
      <c r="K256" s="14">
        <f>K255+Tabelle1[[#This Row],[Zinsleistung]]</f>
        <v>58389.377411997804</v>
      </c>
    </row>
    <row r="257" spans="2:11" x14ac:dyDescent="0.25">
      <c r="B257" s="11">
        <f t="shared" si="7"/>
        <v>242</v>
      </c>
      <c r="C257" s="12">
        <f>IF((Startdatum),EOMONTH(C256,1))</f>
        <v>50617</v>
      </c>
      <c r="D257" s="13">
        <f t="shared" si="6"/>
        <v>0</v>
      </c>
      <c r="E257" s="14">
        <f>IF(AnzahlZahlungen&lt;&gt;"",IF(Tabelle1[[#This Row],[Startsaldo]]&lt;Rate,Tabelle1[[#This Row],[Startsaldo]],Rate),"")</f>
        <v>0</v>
      </c>
      <c r="F257" s="19"/>
      <c r="G257" s="13">
        <f>Tabelle1[[#This Row],[Planmässige Zahlung ]]+Tabelle1[[#This Row],[Sonderzahlung]]</f>
        <v>0</v>
      </c>
      <c r="H257" s="14">
        <f>Tabelle1[[#This Row],[Zahlung gesamt]]-Tabelle1[[#This Row],[Zinsleistung]]</f>
        <v>0</v>
      </c>
      <c r="I257" s="14">
        <f>IF(AnzahlZahlungen&lt;&gt;"",Tabelle1[[#This Row],[Startsaldo]]*Zinssatz/12,"")</f>
        <v>0</v>
      </c>
      <c r="J257" s="13">
        <f>IF(AnzahlZahlungen&lt;&gt;0,Tabelle1[[#This Row],[Startsaldo]]-Tabelle1[[#This Row],[Zahlung gesamt]],"")</f>
        <v>0</v>
      </c>
      <c r="K257" s="14">
        <f>K256+Tabelle1[[#This Row],[Zinsleistung]]</f>
        <v>58389.377411997804</v>
      </c>
    </row>
    <row r="258" spans="2:11" x14ac:dyDescent="0.25">
      <c r="B258" s="11">
        <f t="shared" si="7"/>
        <v>243</v>
      </c>
      <c r="C258" s="12">
        <f>IF((Startdatum),EOMONTH(C257,1))</f>
        <v>50648</v>
      </c>
      <c r="D258" s="13">
        <f t="shared" si="6"/>
        <v>0</v>
      </c>
      <c r="E258" s="14">
        <f>IF(AnzahlZahlungen&lt;&gt;"",IF(Tabelle1[[#This Row],[Startsaldo]]&lt;Rate,Tabelle1[[#This Row],[Startsaldo]],Rate),"")</f>
        <v>0</v>
      </c>
      <c r="F258" s="19"/>
      <c r="G258" s="13">
        <f>Tabelle1[[#This Row],[Planmässige Zahlung ]]+Tabelle1[[#This Row],[Sonderzahlung]]</f>
        <v>0</v>
      </c>
      <c r="H258" s="14">
        <f>Tabelle1[[#This Row],[Zahlung gesamt]]-Tabelle1[[#This Row],[Zinsleistung]]</f>
        <v>0</v>
      </c>
      <c r="I258" s="14">
        <f>IF(AnzahlZahlungen&lt;&gt;"",Tabelle1[[#This Row],[Startsaldo]]*Zinssatz/12,"")</f>
        <v>0</v>
      </c>
      <c r="J258" s="13">
        <f>IF(AnzahlZahlungen&lt;&gt;0,Tabelle1[[#This Row],[Startsaldo]]-Tabelle1[[#This Row],[Zahlung gesamt]],"")</f>
        <v>0</v>
      </c>
      <c r="K258" s="14">
        <f>K257+Tabelle1[[#This Row],[Zinsleistung]]</f>
        <v>58389.377411997804</v>
      </c>
    </row>
    <row r="259" spans="2:11" x14ac:dyDescent="0.25">
      <c r="B259" s="11">
        <f t="shared" si="7"/>
        <v>244</v>
      </c>
      <c r="C259" s="12">
        <f>IF((Startdatum),EOMONTH(C258,1))</f>
        <v>50678</v>
      </c>
      <c r="D259" s="13">
        <f t="shared" si="6"/>
        <v>0</v>
      </c>
      <c r="E259" s="14">
        <f>IF(AnzahlZahlungen&lt;&gt;"",IF(Tabelle1[[#This Row],[Startsaldo]]&lt;Rate,Tabelle1[[#This Row],[Startsaldo]],Rate),"")</f>
        <v>0</v>
      </c>
      <c r="F259" s="19"/>
      <c r="G259" s="13">
        <f>Tabelle1[[#This Row],[Planmässige Zahlung ]]+Tabelle1[[#This Row],[Sonderzahlung]]</f>
        <v>0</v>
      </c>
      <c r="H259" s="14">
        <f>Tabelle1[[#This Row],[Zahlung gesamt]]-Tabelle1[[#This Row],[Zinsleistung]]</f>
        <v>0</v>
      </c>
      <c r="I259" s="14">
        <f>IF(AnzahlZahlungen&lt;&gt;"",Tabelle1[[#This Row],[Startsaldo]]*Zinssatz/12,"")</f>
        <v>0</v>
      </c>
      <c r="J259" s="13">
        <f>IF(AnzahlZahlungen&lt;&gt;0,Tabelle1[[#This Row],[Startsaldo]]-Tabelle1[[#This Row],[Zahlung gesamt]],"")</f>
        <v>0</v>
      </c>
      <c r="K259" s="14">
        <f>K258+Tabelle1[[#This Row],[Zinsleistung]]</f>
        <v>58389.377411997804</v>
      </c>
    </row>
    <row r="260" spans="2:11" x14ac:dyDescent="0.25">
      <c r="B260" s="11">
        <f t="shared" si="7"/>
        <v>245</v>
      </c>
      <c r="C260" s="12">
        <f>IF((Startdatum),EOMONTH(C259,1))</f>
        <v>50709</v>
      </c>
      <c r="D260" s="13">
        <f t="shared" si="6"/>
        <v>0</v>
      </c>
      <c r="E260" s="14">
        <f>IF(AnzahlZahlungen&lt;&gt;"",IF(Tabelle1[[#This Row],[Startsaldo]]&lt;Rate,Tabelle1[[#This Row],[Startsaldo]],Rate),"")</f>
        <v>0</v>
      </c>
      <c r="F260" s="19"/>
      <c r="G260" s="13">
        <f>Tabelle1[[#This Row],[Planmässige Zahlung ]]+Tabelle1[[#This Row],[Sonderzahlung]]</f>
        <v>0</v>
      </c>
      <c r="H260" s="14">
        <f>Tabelle1[[#This Row],[Zahlung gesamt]]-Tabelle1[[#This Row],[Zinsleistung]]</f>
        <v>0</v>
      </c>
      <c r="I260" s="14">
        <f>IF(AnzahlZahlungen&lt;&gt;"",Tabelle1[[#This Row],[Startsaldo]]*Zinssatz/12,"")</f>
        <v>0</v>
      </c>
      <c r="J260" s="13">
        <f>IF(AnzahlZahlungen&lt;&gt;0,Tabelle1[[#This Row],[Startsaldo]]-Tabelle1[[#This Row],[Zahlung gesamt]],"")</f>
        <v>0</v>
      </c>
      <c r="K260" s="14">
        <f>K259+Tabelle1[[#This Row],[Zinsleistung]]</f>
        <v>58389.377411997804</v>
      </c>
    </row>
    <row r="261" spans="2:11" x14ac:dyDescent="0.25">
      <c r="B261" s="11">
        <f t="shared" si="7"/>
        <v>246</v>
      </c>
      <c r="C261" s="12">
        <f>IF((Startdatum),EOMONTH(C260,1))</f>
        <v>50739</v>
      </c>
      <c r="D261" s="13">
        <f t="shared" si="6"/>
        <v>0</v>
      </c>
      <c r="E261" s="14">
        <f>IF(AnzahlZahlungen&lt;&gt;"",IF(Tabelle1[[#This Row],[Startsaldo]]&lt;Rate,Tabelle1[[#This Row],[Startsaldo]],Rate),"")</f>
        <v>0</v>
      </c>
      <c r="F261" s="19"/>
      <c r="G261" s="13">
        <f>Tabelle1[[#This Row],[Planmässige Zahlung ]]+Tabelle1[[#This Row],[Sonderzahlung]]</f>
        <v>0</v>
      </c>
      <c r="H261" s="14">
        <f>Tabelle1[[#This Row],[Zahlung gesamt]]-Tabelle1[[#This Row],[Zinsleistung]]</f>
        <v>0</v>
      </c>
      <c r="I261" s="14">
        <f>IF(AnzahlZahlungen&lt;&gt;"",Tabelle1[[#This Row],[Startsaldo]]*Zinssatz/12,"")</f>
        <v>0</v>
      </c>
      <c r="J261" s="13">
        <f>IF(AnzahlZahlungen&lt;&gt;0,Tabelle1[[#This Row],[Startsaldo]]-Tabelle1[[#This Row],[Zahlung gesamt]],"")</f>
        <v>0</v>
      </c>
      <c r="K261" s="14">
        <f>K260+Tabelle1[[#This Row],[Zinsleistung]]</f>
        <v>58389.377411997804</v>
      </c>
    </row>
    <row r="262" spans="2:11" x14ac:dyDescent="0.25">
      <c r="B262" s="11">
        <f t="shared" si="7"/>
        <v>247</v>
      </c>
      <c r="C262" s="12">
        <f>IF((Startdatum),EOMONTH(C261,1))</f>
        <v>50770</v>
      </c>
      <c r="D262" s="13">
        <f t="shared" si="6"/>
        <v>0</v>
      </c>
      <c r="E262" s="14">
        <f>IF(AnzahlZahlungen&lt;&gt;"",IF(Tabelle1[[#This Row],[Startsaldo]]&lt;Rate,Tabelle1[[#This Row],[Startsaldo]],Rate),"")</f>
        <v>0</v>
      </c>
      <c r="F262" s="19"/>
      <c r="G262" s="13">
        <f>Tabelle1[[#This Row],[Planmässige Zahlung ]]+Tabelle1[[#This Row],[Sonderzahlung]]</f>
        <v>0</v>
      </c>
      <c r="H262" s="14">
        <f>Tabelle1[[#This Row],[Zahlung gesamt]]-Tabelle1[[#This Row],[Zinsleistung]]</f>
        <v>0</v>
      </c>
      <c r="I262" s="14">
        <f>IF(AnzahlZahlungen&lt;&gt;"",Tabelle1[[#This Row],[Startsaldo]]*Zinssatz/12,"")</f>
        <v>0</v>
      </c>
      <c r="J262" s="13">
        <f>IF(AnzahlZahlungen&lt;&gt;0,Tabelle1[[#This Row],[Startsaldo]]-Tabelle1[[#This Row],[Zahlung gesamt]],"")</f>
        <v>0</v>
      </c>
      <c r="K262" s="14">
        <f>K261+Tabelle1[[#This Row],[Zinsleistung]]</f>
        <v>58389.377411997804</v>
      </c>
    </row>
    <row r="263" spans="2:11" x14ac:dyDescent="0.25">
      <c r="B263" s="11">
        <f t="shared" si="7"/>
        <v>248</v>
      </c>
      <c r="C263" s="12">
        <f>IF((Startdatum),EOMONTH(C262,1))</f>
        <v>50801</v>
      </c>
      <c r="D263" s="13">
        <f t="shared" si="6"/>
        <v>0</v>
      </c>
      <c r="E263" s="14">
        <f>IF(AnzahlZahlungen&lt;&gt;"",IF(Tabelle1[[#This Row],[Startsaldo]]&lt;Rate,Tabelle1[[#This Row],[Startsaldo]],Rate),"")</f>
        <v>0</v>
      </c>
      <c r="F263" s="19"/>
      <c r="G263" s="13">
        <f>Tabelle1[[#This Row],[Planmässige Zahlung ]]+Tabelle1[[#This Row],[Sonderzahlung]]</f>
        <v>0</v>
      </c>
      <c r="H263" s="14">
        <f>Tabelle1[[#This Row],[Zahlung gesamt]]-Tabelle1[[#This Row],[Zinsleistung]]</f>
        <v>0</v>
      </c>
      <c r="I263" s="14">
        <f>IF(AnzahlZahlungen&lt;&gt;"",Tabelle1[[#This Row],[Startsaldo]]*Zinssatz/12,"")</f>
        <v>0</v>
      </c>
      <c r="J263" s="13">
        <f>IF(AnzahlZahlungen&lt;&gt;0,Tabelle1[[#This Row],[Startsaldo]]-Tabelle1[[#This Row],[Zahlung gesamt]],"")</f>
        <v>0</v>
      </c>
      <c r="K263" s="14">
        <f>K262+Tabelle1[[#This Row],[Zinsleistung]]</f>
        <v>58389.377411997804</v>
      </c>
    </row>
    <row r="264" spans="2:11" x14ac:dyDescent="0.25">
      <c r="B264" s="11">
        <f t="shared" si="7"/>
        <v>249</v>
      </c>
      <c r="C264" s="12">
        <f>IF((Startdatum),EOMONTH(C263,1))</f>
        <v>50829</v>
      </c>
      <c r="D264" s="13">
        <f t="shared" si="6"/>
        <v>0</v>
      </c>
      <c r="E264" s="14">
        <f>IF(AnzahlZahlungen&lt;&gt;"",IF(Tabelle1[[#This Row],[Startsaldo]]&lt;Rate,Tabelle1[[#This Row],[Startsaldo]],Rate),"")</f>
        <v>0</v>
      </c>
      <c r="F264" s="19"/>
      <c r="G264" s="13">
        <f>Tabelle1[[#This Row],[Planmässige Zahlung ]]+Tabelle1[[#This Row],[Sonderzahlung]]</f>
        <v>0</v>
      </c>
      <c r="H264" s="14">
        <f>Tabelle1[[#This Row],[Zahlung gesamt]]-Tabelle1[[#This Row],[Zinsleistung]]</f>
        <v>0</v>
      </c>
      <c r="I264" s="14">
        <f>IF(AnzahlZahlungen&lt;&gt;"",Tabelle1[[#This Row],[Startsaldo]]*Zinssatz/12,"")</f>
        <v>0</v>
      </c>
      <c r="J264" s="13">
        <f>IF(AnzahlZahlungen&lt;&gt;0,Tabelle1[[#This Row],[Startsaldo]]-Tabelle1[[#This Row],[Zahlung gesamt]],"")</f>
        <v>0</v>
      </c>
      <c r="K264" s="14">
        <f>K263+Tabelle1[[#This Row],[Zinsleistung]]</f>
        <v>58389.377411997804</v>
      </c>
    </row>
    <row r="265" spans="2:11" x14ac:dyDescent="0.25">
      <c r="B265" s="11">
        <f t="shared" si="7"/>
        <v>250</v>
      </c>
      <c r="C265" s="12">
        <f>IF((Startdatum),EOMONTH(C264,1))</f>
        <v>50860</v>
      </c>
      <c r="D265" s="13">
        <f t="shared" si="6"/>
        <v>0</v>
      </c>
      <c r="E265" s="14">
        <f>IF(AnzahlZahlungen&lt;&gt;"",IF(Tabelle1[[#This Row],[Startsaldo]]&lt;Rate,Tabelle1[[#This Row],[Startsaldo]],Rate),"")</f>
        <v>0</v>
      </c>
      <c r="F265" s="19"/>
      <c r="G265" s="13">
        <f>Tabelle1[[#This Row],[Planmässige Zahlung ]]+Tabelle1[[#This Row],[Sonderzahlung]]</f>
        <v>0</v>
      </c>
      <c r="H265" s="14">
        <f>Tabelle1[[#This Row],[Zahlung gesamt]]-Tabelle1[[#This Row],[Zinsleistung]]</f>
        <v>0</v>
      </c>
      <c r="I265" s="14">
        <f>IF(AnzahlZahlungen&lt;&gt;"",Tabelle1[[#This Row],[Startsaldo]]*Zinssatz/12,"")</f>
        <v>0</v>
      </c>
      <c r="J265" s="13">
        <f>IF(AnzahlZahlungen&lt;&gt;0,Tabelle1[[#This Row],[Startsaldo]]-Tabelle1[[#This Row],[Zahlung gesamt]],"")</f>
        <v>0</v>
      </c>
      <c r="K265" s="14">
        <f>K264+Tabelle1[[#This Row],[Zinsleistung]]</f>
        <v>58389.377411997804</v>
      </c>
    </row>
    <row r="266" spans="2:11" x14ac:dyDescent="0.25">
      <c r="B266" s="11">
        <f t="shared" si="7"/>
        <v>251</v>
      </c>
      <c r="C266" s="12">
        <f>IF((Startdatum),EOMONTH(C265,1))</f>
        <v>50890</v>
      </c>
      <c r="D266" s="13">
        <f t="shared" si="6"/>
        <v>0</v>
      </c>
      <c r="E266" s="14">
        <f>IF(AnzahlZahlungen&lt;&gt;"",IF(Tabelle1[[#This Row],[Startsaldo]]&lt;Rate,Tabelle1[[#This Row],[Startsaldo]],Rate),"")</f>
        <v>0</v>
      </c>
      <c r="F266" s="19"/>
      <c r="G266" s="13">
        <f>Tabelle1[[#This Row],[Planmässige Zahlung ]]+Tabelle1[[#This Row],[Sonderzahlung]]</f>
        <v>0</v>
      </c>
      <c r="H266" s="14">
        <f>Tabelle1[[#This Row],[Zahlung gesamt]]-Tabelle1[[#This Row],[Zinsleistung]]</f>
        <v>0</v>
      </c>
      <c r="I266" s="14">
        <f>IF(AnzahlZahlungen&lt;&gt;"",Tabelle1[[#This Row],[Startsaldo]]*Zinssatz/12,"")</f>
        <v>0</v>
      </c>
      <c r="J266" s="13">
        <f>IF(AnzahlZahlungen&lt;&gt;0,Tabelle1[[#This Row],[Startsaldo]]-Tabelle1[[#This Row],[Zahlung gesamt]],"")</f>
        <v>0</v>
      </c>
      <c r="K266" s="14">
        <f>K265+Tabelle1[[#This Row],[Zinsleistung]]</f>
        <v>58389.377411997804</v>
      </c>
    </row>
    <row r="267" spans="2:11" x14ac:dyDescent="0.25">
      <c r="B267" s="11">
        <f t="shared" si="7"/>
        <v>252</v>
      </c>
      <c r="C267" s="12">
        <f>IF((Startdatum),EOMONTH(C266,1))</f>
        <v>50921</v>
      </c>
      <c r="D267" s="13">
        <f t="shared" si="6"/>
        <v>0</v>
      </c>
      <c r="E267" s="14">
        <f>IF(AnzahlZahlungen&lt;&gt;"",IF(Tabelle1[[#This Row],[Startsaldo]]&lt;Rate,Tabelle1[[#This Row],[Startsaldo]],Rate),"")</f>
        <v>0</v>
      </c>
      <c r="F267" s="19"/>
      <c r="G267" s="13">
        <f>Tabelle1[[#This Row],[Planmässige Zahlung ]]+Tabelle1[[#This Row],[Sonderzahlung]]</f>
        <v>0</v>
      </c>
      <c r="H267" s="14">
        <f>Tabelle1[[#This Row],[Zahlung gesamt]]-Tabelle1[[#This Row],[Zinsleistung]]</f>
        <v>0</v>
      </c>
      <c r="I267" s="14">
        <f>IF(AnzahlZahlungen&lt;&gt;"",Tabelle1[[#This Row],[Startsaldo]]*Zinssatz/12,"")</f>
        <v>0</v>
      </c>
      <c r="J267" s="13">
        <f>IF(AnzahlZahlungen&lt;&gt;0,Tabelle1[[#This Row],[Startsaldo]]-Tabelle1[[#This Row],[Zahlung gesamt]],"")</f>
        <v>0</v>
      </c>
      <c r="K267" s="14">
        <f>K266+Tabelle1[[#This Row],[Zinsleistung]]</f>
        <v>58389.377411997804</v>
      </c>
    </row>
    <row r="268" spans="2:11" x14ac:dyDescent="0.25">
      <c r="B268" s="11">
        <f t="shared" si="7"/>
        <v>253</v>
      </c>
      <c r="C268" s="12">
        <f>IF((Startdatum),EOMONTH(C267,1))</f>
        <v>50951</v>
      </c>
      <c r="D268" s="13">
        <f t="shared" si="6"/>
        <v>0</v>
      </c>
      <c r="E268" s="14">
        <f>IF(AnzahlZahlungen&lt;&gt;"",IF(Tabelle1[[#This Row],[Startsaldo]]&lt;Rate,Tabelle1[[#This Row],[Startsaldo]],Rate),"")</f>
        <v>0</v>
      </c>
      <c r="F268" s="19"/>
      <c r="G268" s="13">
        <f>Tabelle1[[#This Row],[Planmässige Zahlung ]]+Tabelle1[[#This Row],[Sonderzahlung]]</f>
        <v>0</v>
      </c>
      <c r="H268" s="14">
        <f>Tabelle1[[#This Row],[Zahlung gesamt]]-Tabelle1[[#This Row],[Zinsleistung]]</f>
        <v>0</v>
      </c>
      <c r="I268" s="14">
        <f>IF(AnzahlZahlungen&lt;&gt;"",Tabelle1[[#This Row],[Startsaldo]]*Zinssatz/12,"")</f>
        <v>0</v>
      </c>
      <c r="J268" s="13">
        <f>IF(AnzahlZahlungen&lt;&gt;0,Tabelle1[[#This Row],[Startsaldo]]-Tabelle1[[#This Row],[Zahlung gesamt]],"")</f>
        <v>0</v>
      </c>
      <c r="K268" s="14">
        <f>K267+Tabelle1[[#This Row],[Zinsleistung]]</f>
        <v>58389.377411997804</v>
      </c>
    </row>
    <row r="269" spans="2:11" x14ac:dyDescent="0.25">
      <c r="B269" s="11">
        <f t="shared" si="7"/>
        <v>254</v>
      </c>
      <c r="C269" s="12">
        <f>IF((Startdatum),EOMONTH(C268,1))</f>
        <v>50982</v>
      </c>
      <c r="D269" s="13">
        <f t="shared" si="6"/>
        <v>0</v>
      </c>
      <c r="E269" s="14">
        <f>IF(AnzahlZahlungen&lt;&gt;"",IF(Tabelle1[[#This Row],[Startsaldo]]&lt;Rate,Tabelle1[[#This Row],[Startsaldo]],Rate),"")</f>
        <v>0</v>
      </c>
      <c r="F269" s="19"/>
      <c r="G269" s="13">
        <f>Tabelle1[[#This Row],[Planmässige Zahlung ]]+Tabelle1[[#This Row],[Sonderzahlung]]</f>
        <v>0</v>
      </c>
      <c r="H269" s="14">
        <f>Tabelle1[[#This Row],[Zahlung gesamt]]-Tabelle1[[#This Row],[Zinsleistung]]</f>
        <v>0</v>
      </c>
      <c r="I269" s="14">
        <f>IF(AnzahlZahlungen&lt;&gt;"",Tabelle1[[#This Row],[Startsaldo]]*Zinssatz/12,"")</f>
        <v>0</v>
      </c>
      <c r="J269" s="13">
        <f>IF(AnzahlZahlungen&lt;&gt;0,Tabelle1[[#This Row],[Startsaldo]]-Tabelle1[[#This Row],[Zahlung gesamt]],"")</f>
        <v>0</v>
      </c>
      <c r="K269" s="14">
        <f>K268+Tabelle1[[#This Row],[Zinsleistung]]</f>
        <v>58389.377411997804</v>
      </c>
    </row>
    <row r="270" spans="2:11" x14ac:dyDescent="0.25">
      <c r="B270" s="11">
        <f t="shared" si="7"/>
        <v>255</v>
      </c>
      <c r="C270" s="12">
        <f>IF((Startdatum),EOMONTH(C269,1))</f>
        <v>51013</v>
      </c>
      <c r="D270" s="13">
        <f t="shared" si="6"/>
        <v>0</v>
      </c>
      <c r="E270" s="14">
        <f>IF(AnzahlZahlungen&lt;&gt;"",IF(Tabelle1[[#This Row],[Startsaldo]]&lt;Rate,Tabelle1[[#This Row],[Startsaldo]],Rate),"")</f>
        <v>0</v>
      </c>
      <c r="F270" s="19"/>
      <c r="G270" s="13">
        <f>Tabelle1[[#This Row],[Planmässige Zahlung ]]+Tabelle1[[#This Row],[Sonderzahlung]]</f>
        <v>0</v>
      </c>
      <c r="H270" s="14">
        <f>Tabelle1[[#This Row],[Zahlung gesamt]]-Tabelle1[[#This Row],[Zinsleistung]]</f>
        <v>0</v>
      </c>
      <c r="I270" s="14">
        <f>IF(AnzahlZahlungen&lt;&gt;"",Tabelle1[[#This Row],[Startsaldo]]*Zinssatz/12,"")</f>
        <v>0</v>
      </c>
      <c r="J270" s="13">
        <f>IF(AnzahlZahlungen&lt;&gt;0,Tabelle1[[#This Row],[Startsaldo]]-Tabelle1[[#This Row],[Zahlung gesamt]],"")</f>
        <v>0</v>
      </c>
      <c r="K270" s="14">
        <f>K269+Tabelle1[[#This Row],[Zinsleistung]]</f>
        <v>58389.377411997804</v>
      </c>
    </row>
    <row r="271" spans="2:11" x14ac:dyDescent="0.25">
      <c r="B271" s="11">
        <f t="shared" si="7"/>
        <v>256</v>
      </c>
      <c r="C271" s="12">
        <f>IF((Startdatum),EOMONTH(C270,1))</f>
        <v>51043</v>
      </c>
      <c r="D271" s="13">
        <f t="shared" si="6"/>
        <v>0</v>
      </c>
      <c r="E271" s="14">
        <f>IF(AnzahlZahlungen&lt;&gt;"",IF(Tabelle1[[#This Row],[Startsaldo]]&lt;Rate,Tabelle1[[#This Row],[Startsaldo]],Rate),"")</f>
        <v>0</v>
      </c>
      <c r="F271" s="19"/>
      <c r="G271" s="13">
        <f>Tabelle1[[#This Row],[Planmässige Zahlung ]]+Tabelle1[[#This Row],[Sonderzahlung]]</f>
        <v>0</v>
      </c>
      <c r="H271" s="14">
        <f>Tabelle1[[#This Row],[Zahlung gesamt]]-Tabelle1[[#This Row],[Zinsleistung]]</f>
        <v>0</v>
      </c>
      <c r="I271" s="14">
        <f>IF(AnzahlZahlungen&lt;&gt;"",Tabelle1[[#This Row],[Startsaldo]]*Zinssatz/12,"")</f>
        <v>0</v>
      </c>
      <c r="J271" s="13">
        <f>IF(AnzahlZahlungen&lt;&gt;0,Tabelle1[[#This Row],[Startsaldo]]-Tabelle1[[#This Row],[Zahlung gesamt]],"")</f>
        <v>0</v>
      </c>
      <c r="K271" s="14">
        <f>K270+Tabelle1[[#This Row],[Zinsleistung]]</f>
        <v>58389.377411997804</v>
      </c>
    </row>
    <row r="272" spans="2:11" x14ac:dyDescent="0.25">
      <c r="B272" s="11">
        <f t="shared" si="7"/>
        <v>257</v>
      </c>
      <c r="C272" s="12">
        <f>IF((Startdatum),EOMONTH(C271,1))</f>
        <v>51074</v>
      </c>
      <c r="D272" s="13">
        <f t="shared" si="6"/>
        <v>0</v>
      </c>
      <c r="E272" s="14">
        <f>IF(AnzahlZahlungen&lt;&gt;"",IF(Tabelle1[[#This Row],[Startsaldo]]&lt;Rate,Tabelle1[[#This Row],[Startsaldo]],Rate),"")</f>
        <v>0</v>
      </c>
      <c r="F272" s="19"/>
      <c r="G272" s="13">
        <f>Tabelle1[[#This Row],[Planmässige Zahlung ]]+Tabelle1[[#This Row],[Sonderzahlung]]</f>
        <v>0</v>
      </c>
      <c r="H272" s="14">
        <f>Tabelle1[[#This Row],[Zahlung gesamt]]-Tabelle1[[#This Row],[Zinsleistung]]</f>
        <v>0</v>
      </c>
      <c r="I272" s="14">
        <f>IF(AnzahlZahlungen&lt;&gt;"",Tabelle1[[#This Row],[Startsaldo]]*Zinssatz/12,"")</f>
        <v>0</v>
      </c>
      <c r="J272" s="13">
        <f>IF(AnzahlZahlungen&lt;&gt;0,Tabelle1[[#This Row],[Startsaldo]]-Tabelle1[[#This Row],[Zahlung gesamt]],"")</f>
        <v>0</v>
      </c>
      <c r="K272" s="14">
        <f>K271+Tabelle1[[#This Row],[Zinsleistung]]</f>
        <v>58389.377411997804</v>
      </c>
    </row>
    <row r="273" spans="2:11" x14ac:dyDescent="0.25">
      <c r="B273" s="11">
        <f t="shared" si="7"/>
        <v>258</v>
      </c>
      <c r="C273" s="12">
        <f>IF((Startdatum),EOMONTH(C272,1))</f>
        <v>51104</v>
      </c>
      <c r="D273" s="13">
        <f t="shared" ref="D273:D336" si="8">IF(D272&lt;=Rate,0,D272-H272)</f>
        <v>0</v>
      </c>
      <c r="E273" s="14">
        <f>IF(AnzahlZahlungen&lt;&gt;"",IF(Tabelle1[[#This Row],[Startsaldo]]&lt;Rate,Tabelle1[[#This Row],[Startsaldo]],Rate),"")</f>
        <v>0</v>
      </c>
      <c r="F273" s="19"/>
      <c r="G273" s="13">
        <f>Tabelle1[[#This Row],[Planmässige Zahlung ]]+Tabelle1[[#This Row],[Sonderzahlung]]</f>
        <v>0</v>
      </c>
      <c r="H273" s="14">
        <f>Tabelle1[[#This Row],[Zahlung gesamt]]-Tabelle1[[#This Row],[Zinsleistung]]</f>
        <v>0</v>
      </c>
      <c r="I273" s="14">
        <f>IF(AnzahlZahlungen&lt;&gt;"",Tabelle1[[#This Row],[Startsaldo]]*Zinssatz/12,"")</f>
        <v>0</v>
      </c>
      <c r="J273" s="13">
        <f>IF(AnzahlZahlungen&lt;&gt;0,Tabelle1[[#This Row],[Startsaldo]]-Tabelle1[[#This Row],[Zahlung gesamt]],"")</f>
        <v>0</v>
      </c>
      <c r="K273" s="14">
        <f>K272+Tabelle1[[#This Row],[Zinsleistung]]</f>
        <v>58389.377411997804</v>
      </c>
    </row>
    <row r="274" spans="2:11" x14ac:dyDescent="0.25">
      <c r="B274" s="11">
        <f t="shared" ref="B274:B315" si="9">B273+1</f>
        <v>259</v>
      </c>
      <c r="C274" s="12">
        <f>IF((Startdatum),EOMONTH(C273,1))</f>
        <v>51135</v>
      </c>
      <c r="D274" s="13">
        <f t="shared" si="8"/>
        <v>0</v>
      </c>
      <c r="E274" s="14">
        <f>IF(AnzahlZahlungen&lt;&gt;"",IF(Tabelle1[[#This Row],[Startsaldo]]&lt;Rate,Tabelle1[[#This Row],[Startsaldo]],Rate),"")</f>
        <v>0</v>
      </c>
      <c r="F274" s="19"/>
      <c r="G274" s="13">
        <f>Tabelle1[[#This Row],[Planmässige Zahlung ]]+Tabelle1[[#This Row],[Sonderzahlung]]</f>
        <v>0</v>
      </c>
      <c r="H274" s="14">
        <f>Tabelle1[[#This Row],[Zahlung gesamt]]-Tabelle1[[#This Row],[Zinsleistung]]</f>
        <v>0</v>
      </c>
      <c r="I274" s="14">
        <f>IF(AnzahlZahlungen&lt;&gt;"",Tabelle1[[#This Row],[Startsaldo]]*Zinssatz/12,"")</f>
        <v>0</v>
      </c>
      <c r="J274" s="13">
        <f>IF(AnzahlZahlungen&lt;&gt;0,Tabelle1[[#This Row],[Startsaldo]]-Tabelle1[[#This Row],[Zahlung gesamt]],"")</f>
        <v>0</v>
      </c>
      <c r="K274" s="14">
        <f>K273+Tabelle1[[#This Row],[Zinsleistung]]</f>
        <v>58389.377411997804</v>
      </c>
    </row>
    <row r="275" spans="2:11" x14ac:dyDescent="0.25">
      <c r="B275" s="11">
        <f t="shared" si="9"/>
        <v>260</v>
      </c>
      <c r="C275" s="12">
        <f>IF((Startdatum),EOMONTH(C274,1))</f>
        <v>51166</v>
      </c>
      <c r="D275" s="13">
        <f t="shared" si="8"/>
        <v>0</v>
      </c>
      <c r="E275" s="14">
        <f>IF(AnzahlZahlungen&lt;&gt;"",IF(Tabelle1[[#This Row],[Startsaldo]]&lt;Rate,Tabelle1[[#This Row],[Startsaldo]],Rate),"")</f>
        <v>0</v>
      </c>
      <c r="F275" s="19"/>
      <c r="G275" s="13">
        <f>Tabelle1[[#This Row],[Planmässige Zahlung ]]+Tabelle1[[#This Row],[Sonderzahlung]]</f>
        <v>0</v>
      </c>
      <c r="H275" s="14">
        <f>Tabelle1[[#This Row],[Zahlung gesamt]]-Tabelle1[[#This Row],[Zinsleistung]]</f>
        <v>0</v>
      </c>
      <c r="I275" s="14">
        <f>IF(AnzahlZahlungen&lt;&gt;"",Tabelle1[[#This Row],[Startsaldo]]*Zinssatz/12,"")</f>
        <v>0</v>
      </c>
      <c r="J275" s="13">
        <f>IF(AnzahlZahlungen&lt;&gt;0,Tabelle1[[#This Row],[Startsaldo]]-Tabelle1[[#This Row],[Zahlung gesamt]],"")</f>
        <v>0</v>
      </c>
      <c r="K275" s="14">
        <f>K274+Tabelle1[[#This Row],[Zinsleistung]]</f>
        <v>58389.377411997804</v>
      </c>
    </row>
    <row r="276" spans="2:11" x14ac:dyDescent="0.25">
      <c r="B276" s="11">
        <f t="shared" si="9"/>
        <v>261</v>
      </c>
      <c r="C276" s="12">
        <f>IF((Startdatum),EOMONTH(C275,1))</f>
        <v>51195</v>
      </c>
      <c r="D276" s="13">
        <f t="shared" si="8"/>
        <v>0</v>
      </c>
      <c r="E276" s="14">
        <f>IF(AnzahlZahlungen&lt;&gt;"",IF(Tabelle1[[#This Row],[Startsaldo]]&lt;Rate,Tabelle1[[#This Row],[Startsaldo]],Rate),"")</f>
        <v>0</v>
      </c>
      <c r="F276" s="19"/>
      <c r="G276" s="13">
        <f>Tabelle1[[#This Row],[Planmässige Zahlung ]]+Tabelle1[[#This Row],[Sonderzahlung]]</f>
        <v>0</v>
      </c>
      <c r="H276" s="14">
        <f>Tabelle1[[#This Row],[Zahlung gesamt]]-Tabelle1[[#This Row],[Zinsleistung]]</f>
        <v>0</v>
      </c>
      <c r="I276" s="14">
        <f>IF(AnzahlZahlungen&lt;&gt;"",Tabelle1[[#This Row],[Startsaldo]]*Zinssatz/12,"")</f>
        <v>0</v>
      </c>
      <c r="J276" s="13">
        <f>IF(AnzahlZahlungen&lt;&gt;0,Tabelle1[[#This Row],[Startsaldo]]-Tabelle1[[#This Row],[Zahlung gesamt]],"")</f>
        <v>0</v>
      </c>
      <c r="K276" s="14">
        <f>K275+Tabelle1[[#This Row],[Zinsleistung]]</f>
        <v>58389.377411997804</v>
      </c>
    </row>
    <row r="277" spans="2:11" x14ac:dyDescent="0.25">
      <c r="B277" s="11">
        <f t="shared" si="9"/>
        <v>262</v>
      </c>
      <c r="C277" s="12">
        <f>IF((Startdatum),EOMONTH(C276,1))</f>
        <v>51226</v>
      </c>
      <c r="D277" s="13">
        <f t="shared" si="8"/>
        <v>0</v>
      </c>
      <c r="E277" s="14">
        <f>IF(AnzahlZahlungen&lt;&gt;"",IF(Tabelle1[[#This Row],[Startsaldo]]&lt;Rate,Tabelle1[[#This Row],[Startsaldo]],Rate),"")</f>
        <v>0</v>
      </c>
      <c r="F277" s="19"/>
      <c r="G277" s="13">
        <f>Tabelle1[[#This Row],[Planmässige Zahlung ]]+Tabelle1[[#This Row],[Sonderzahlung]]</f>
        <v>0</v>
      </c>
      <c r="H277" s="14">
        <f>Tabelle1[[#This Row],[Zahlung gesamt]]-Tabelle1[[#This Row],[Zinsleistung]]</f>
        <v>0</v>
      </c>
      <c r="I277" s="14">
        <f>IF(AnzahlZahlungen&lt;&gt;"",Tabelle1[[#This Row],[Startsaldo]]*Zinssatz/12,"")</f>
        <v>0</v>
      </c>
      <c r="J277" s="13">
        <f>IF(AnzahlZahlungen&lt;&gt;0,Tabelle1[[#This Row],[Startsaldo]]-Tabelle1[[#This Row],[Zahlung gesamt]],"")</f>
        <v>0</v>
      </c>
      <c r="K277" s="14">
        <f>K276+Tabelle1[[#This Row],[Zinsleistung]]</f>
        <v>58389.377411997804</v>
      </c>
    </row>
    <row r="278" spans="2:11" x14ac:dyDescent="0.25">
      <c r="B278" s="11">
        <f t="shared" si="9"/>
        <v>263</v>
      </c>
      <c r="C278" s="12">
        <f>IF((Startdatum),EOMONTH(C277,1))</f>
        <v>51256</v>
      </c>
      <c r="D278" s="13">
        <f t="shared" si="8"/>
        <v>0</v>
      </c>
      <c r="E278" s="14">
        <f>IF(AnzahlZahlungen&lt;&gt;"",IF(Tabelle1[[#This Row],[Startsaldo]]&lt;Rate,Tabelle1[[#This Row],[Startsaldo]],Rate),"")</f>
        <v>0</v>
      </c>
      <c r="F278" s="19"/>
      <c r="G278" s="13">
        <f>Tabelle1[[#This Row],[Planmässige Zahlung ]]+Tabelle1[[#This Row],[Sonderzahlung]]</f>
        <v>0</v>
      </c>
      <c r="H278" s="14">
        <f>Tabelle1[[#This Row],[Zahlung gesamt]]-Tabelle1[[#This Row],[Zinsleistung]]</f>
        <v>0</v>
      </c>
      <c r="I278" s="14">
        <f>IF(AnzahlZahlungen&lt;&gt;"",Tabelle1[[#This Row],[Startsaldo]]*Zinssatz/12,"")</f>
        <v>0</v>
      </c>
      <c r="J278" s="13">
        <f>IF(AnzahlZahlungen&lt;&gt;0,Tabelle1[[#This Row],[Startsaldo]]-Tabelle1[[#This Row],[Zahlung gesamt]],"")</f>
        <v>0</v>
      </c>
      <c r="K278" s="14">
        <f>K277+Tabelle1[[#This Row],[Zinsleistung]]</f>
        <v>58389.377411997804</v>
      </c>
    </row>
    <row r="279" spans="2:11" x14ac:dyDescent="0.25">
      <c r="B279" s="11">
        <f t="shared" si="9"/>
        <v>264</v>
      </c>
      <c r="C279" s="12">
        <f>IF((Startdatum),EOMONTH(C278,1))</f>
        <v>51287</v>
      </c>
      <c r="D279" s="13">
        <f t="shared" si="8"/>
        <v>0</v>
      </c>
      <c r="E279" s="14">
        <f>IF(AnzahlZahlungen&lt;&gt;"",IF(Tabelle1[[#This Row],[Startsaldo]]&lt;Rate,Tabelle1[[#This Row],[Startsaldo]],Rate),"")</f>
        <v>0</v>
      </c>
      <c r="F279" s="19"/>
      <c r="G279" s="13">
        <f>Tabelle1[[#This Row],[Planmässige Zahlung ]]+Tabelle1[[#This Row],[Sonderzahlung]]</f>
        <v>0</v>
      </c>
      <c r="H279" s="14">
        <f>Tabelle1[[#This Row],[Zahlung gesamt]]-Tabelle1[[#This Row],[Zinsleistung]]</f>
        <v>0</v>
      </c>
      <c r="I279" s="14">
        <f>IF(AnzahlZahlungen&lt;&gt;"",Tabelle1[[#This Row],[Startsaldo]]*Zinssatz/12,"")</f>
        <v>0</v>
      </c>
      <c r="J279" s="13">
        <f>IF(AnzahlZahlungen&lt;&gt;0,Tabelle1[[#This Row],[Startsaldo]]-Tabelle1[[#This Row],[Zahlung gesamt]],"")</f>
        <v>0</v>
      </c>
      <c r="K279" s="14">
        <f>K278+Tabelle1[[#This Row],[Zinsleistung]]</f>
        <v>58389.377411997804</v>
      </c>
    </row>
    <row r="280" spans="2:11" x14ac:dyDescent="0.25">
      <c r="B280" s="11">
        <f t="shared" si="9"/>
        <v>265</v>
      </c>
      <c r="C280" s="12">
        <f>IF((Startdatum),EOMONTH(C279,1))</f>
        <v>51317</v>
      </c>
      <c r="D280" s="13">
        <f t="shared" si="8"/>
        <v>0</v>
      </c>
      <c r="E280" s="14">
        <f>IF(AnzahlZahlungen&lt;&gt;"",IF(Tabelle1[[#This Row],[Startsaldo]]&lt;Rate,Tabelle1[[#This Row],[Startsaldo]],Rate),"")</f>
        <v>0</v>
      </c>
      <c r="F280" s="19"/>
      <c r="G280" s="13">
        <f>Tabelle1[[#This Row],[Planmässige Zahlung ]]+Tabelle1[[#This Row],[Sonderzahlung]]</f>
        <v>0</v>
      </c>
      <c r="H280" s="14">
        <f>Tabelle1[[#This Row],[Zahlung gesamt]]-Tabelle1[[#This Row],[Zinsleistung]]</f>
        <v>0</v>
      </c>
      <c r="I280" s="14">
        <f>IF(AnzahlZahlungen&lt;&gt;"",Tabelle1[[#This Row],[Startsaldo]]*Zinssatz/12,"")</f>
        <v>0</v>
      </c>
      <c r="J280" s="13">
        <f>IF(AnzahlZahlungen&lt;&gt;0,Tabelle1[[#This Row],[Startsaldo]]-Tabelle1[[#This Row],[Zahlung gesamt]],"")</f>
        <v>0</v>
      </c>
      <c r="K280" s="14">
        <f>K279+Tabelle1[[#This Row],[Zinsleistung]]</f>
        <v>58389.377411997804</v>
      </c>
    </row>
    <row r="281" spans="2:11" x14ac:dyDescent="0.25">
      <c r="B281" s="11">
        <f t="shared" si="9"/>
        <v>266</v>
      </c>
      <c r="C281" s="12">
        <f>IF((Startdatum),EOMONTH(C280,1))</f>
        <v>51348</v>
      </c>
      <c r="D281" s="13">
        <f t="shared" si="8"/>
        <v>0</v>
      </c>
      <c r="E281" s="14">
        <f>IF(AnzahlZahlungen&lt;&gt;"",IF(Tabelle1[[#This Row],[Startsaldo]]&lt;Rate,Tabelle1[[#This Row],[Startsaldo]],Rate),"")</f>
        <v>0</v>
      </c>
      <c r="F281" s="19"/>
      <c r="G281" s="13">
        <f>Tabelle1[[#This Row],[Planmässige Zahlung ]]+Tabelle1[[#This Row],[Sonderzahlung]]</f>
        <v>0</v>
      </c>
      <c r="H281" s="14">
        <f>Tabelle1[[#This Row],[Zahlung gesamt]]-Tabelle1[[#This Row],[Zinsleistung]]</f>
        <v>0</v>
      </c>
      <c r="I281" s="14">
        <f>IF(AnzahlZahlungen&lt;&gt;"",Tabelle1[[#This Row],[Startsaldo]]*Zinssatz/12,"")</f>
        <v>0</v>
      </c>
      <c r="J281" s="13">
        <f>IF(AnzahlZahlungen&lt;&gt;0,Tabelle1[[#This Row],[Startsaldo]]-Tabelle1[[#This Row],[Zahlung gesamt]],"")</f>
        <v>0</v>
      </c>
      <c r="K281" s="14">
        <f>K280+Tabelle1[[#This Row],[Zinsleistung]]</f>
        <v>58389.377411997804</v>
      </c>
    </row>
    <row r="282" spans="2:11" x14ac:dyDescent="0.25">
      <c r="B282" s="11">
        <f t="shared" si="9"/>
        <v>267</v>
      </c>
      <c r="C282" s="12">
        <f>IF((Startdatum),EOMONTH(C281,1))</f>
        <v>51379</v>
      </c>
      <c r="D282" s="13">
        <f t="shared" si="8"/>
        <v>0</v>
      </c>
      <c r="E282" s="14">
        <f>IF(AnzahlZahlungen&lt;&gt;"",IF(Tabelle1[[#This Row],[Startsaldo]]&lt;Rate,Tabelle1[[#This Row],[Startsaldo]],Rate),"")</f>
        <v>0</v>
      </c>
      <c r="F282" s="19"/>
      <c r="G282" s="13">
        <f>Tabelle1[[#This Row],[Planmässige Zahlung ]]+Tabelle1[[#This Row],[Sonderzahlung]]</f>
        <v>0</v>
      </c>
      <c r="H282" s="14">
        <f>Tabelle1[[#This Row],[Zahlung gesamt]]-Tabelle1[[#This Row],[Zinsleistung]]</f>
        <v>0</v>
      </c>
      <c r="I282" s="14">
        <f>IF(AnzahlZahlungen&lt;&gt;"",Tabelle1[[#This Row],[Startsaldo]]*Zinssatz/12,"")</f>
        <v>0</v>
      </c>
      <c r="J282" s="13">
        <f>IF(AnzahlZahlungen&lt;&gt;0,Tabelle1[[#This Row],[Startsaldo]]-Tabelle1[[#This Row],[Zahlung gesamt]],"")</f>
        <v>0</v>
      </c>
      <c r="K282" s="14">
        <f>K281+Tabelle1[[#This Row],[Zinsleistung]]</f>
        <v>58389.377411997804</v>
      </c>
    </row>
    <row r="283" spans="2:11" x14ac:dyDescent="0.25">
      <c r="B283" s="11">
        <f t="shared" si="9"/>
        <v>268</v>
      </c>
      <c r="C283" s="12">
        <f>IF((Startdatum),EOMONTH(C282,1))</f>
        <v>51409</v>
      </c>
      <c r="D283" s="13">
        <f t="shared" si="8"/>
        <v>0</v>
      </c>
      <c r="E283" s="14">
        <f>IF(AnzahlZahlungen&lt;&gt;"",IF(Tabelle1[[#This Row],[Startsaldo]]&lt;Rate,Tabelle1[[#This Row],[Startsaldo]],Rate),"")</f>
        <v>0</v>
      </c>
      <c r="F283" s="19"/>
      <c r="G283" s="13">
        <f>Tabelle1[[#This Row],[Planmässige Zahlung ]]+Tabelle1[[#This Row],[Sonderzahlung]]</f>
        <v>0</v>
      </c>
      <c r="H283" s="14">
        <f>Tabelle1[[#This Row],[Zahlung gesamt]]-Tabelle1[[#This Row],[Zinsleistung]]</f>
        <v>0</v>
      </c>
      <c r="I283" s="14">
        <f>IF(AnzahlZahlungen&lt;&gt;"",Tabelle1[[#This Row],[Startsaldo]]*Zinssatz/12,"")</f>
        <v>0</v>
      </c>
      <c r="J283" s="13">
        <f>IF(AnzahlZahlungen&lt;&gt;0,Tabelle1[[#This Row],[Startsaldo]]-Tabelle1[[#This Row],[Zahlung gesamt]],"")</f>
        <v>0</v>
      </c>
      <c r="K283" s="14">
        <f>K282+Tabelle1[[#This Row],[Zinsleistung]]</f>
        <v>58389.377411997804</v>
      </c>
    </row>
    <row r="284" spans="2:11" x14ac:dyDescent="0.25">
      <c r="B284" s="11">
        <f t="shared" si="9"/>
        <v>269</v>
      </c>
      <c r="C284" s="12">
        <f>IF((Startdatum),EOMONTH(C283,1))</f>
        <v>51440</v>
      </c>
      <c r="D284" s="13">
        <f t="shared" si="8"/>
        <v>0</v>
      </c>
      <c r="E284" s="14">
        <f>IF(AnzahlZahlungen&lt;&gt;"",IF(Tabelle1[[#This Row],[Startsaldo]]&lt;Rate,Tabelle1[[#This Row],[Startsaldo]],Rate),"")</f>
        <v>0</v>
      </c>
      <c r="F284" s="19"/>
      <c r="G284" s="13">
        <f>Tabelle1[[#This Row],[Planmässige Zahlung ]]+Tabelle1[[#This Row],[Sonderzahlung]]</f>
        <v>0</v>
      </c>
      <c r="H284" s="14">
        <f>Tabelle1[[#This Row],[Zahlung gesamt]]-Tabelle1[[#This Row],[Zinsleistung]]</f>
        <v>0</v>
      </c>
      <c r="I284" s="14">
        <f>IF(AnzahlZahlungen&lt;&gt;"",Tabelle1[[#This Row],[Startsaldo]]*Zinssatz/12,"")</f>
        <v>0</v>
      </c>
      <c r="J284" s="13">
        <f>IF(AnzahlZahlungen&lt;&gt;0,Tabelle1[[#This Row],[Startsaldo]]-Tabelle1[[#This Row],[Zahlung gesamt]],"")</f>
        <v>0</v>
      </c>
      <c r="K284" s="14">
        <f>K283+Tabelle1[[#This Row],[Zinsleistung]]</f>
        <v>58389.377411997804</v>
      </c>
    </row>
    <row r="285" spans="2:11" x14ac:dyDescent="0.25">
      <c r="B285" s="11">
        <f t="shared" si="9"/>
        <v>270</v>
      </c>
      <c r="C285" s="12">
        <f>IF((Startdatum),EOMONTH(C284,1))</f>
        <v>51470</v>
      </c>
      <c r="D285" s="13">
        <f t="shared" si="8"/>
        <v>0</v>
      </c>
      <c r="E285" s="14">
        <f>IF(AnzahlZahlungen&lt;&gt;"",IF(Tabelle1[[#This Row],[Startsaldo]]&lt;Rate,Tabelle1[[#This Row],[Startsaldo]],Rate),"")</f>
        <v>0</v>
      </c>
      <c r="F285" s="19"/>
      <c r="G285" s="13">
        <f>Tabelle1[[#This Row],[Planmässige Zahlung ]]+Tabelle1[[#This Row],[Sonderzahlung]]</f>
        <v>0</v>
      </c>
      <c r="H285" s="14">
        <f>Tabelle1[[#This Row],[Zahlung gesamt]]-Tabelle1[[#This Row],[Zinsleistung]]</f>
        <v>0</v>
      </c>
      <c r="I285" s="14">
        <f>IF(AnzahlZahlungen&lt;&gt;"",Tabelle1[[#This Row],[Startsaldo]]*Zinssatz/12,"")</f>
        <v>0</v>
      </c>
      <c r="J285" s="13">
        <f>IF(AnzahlZahlungen&lt;&gt;0,Tabelle1[[#This Row],[Startsaldo]]-Tabelle1[[#This Row],[Zahlung gesamt]],"")</f>
        <v>0</v>
      </c>
      <c r="K285" s="14">
        <f>K284+Tabelle1[[#This Row],[Zinsleistung]]</f>
        <v>58389.377411997804</v>
      </c>
    </row>
    <row r="286" spans="2:11" x14ac:dyDescent="0.25">
      <c r="B286" s="11">
        <f t="shared" si="9"/>
        <v>271</v>
      </c>
      <c r="C286" s="12">
        <f>IF((Startdatum),EOMONTH(C285,1))</f>
        <v>51501</v>
      </c>
      <c r="D286" s="13">
        <f t="shared" si="8"/>
        <v>0</v>
      </c>
      <c r="E286" s="14">
        <f>IF(AnzahlZahlungen&lt;&gt;"",IF(Tabelle1[[#This Row],[Startsaldo]]&lt;Rate,Tabelle1[[#This Row],[Startsaldo]],Rate),"")</f>
        <v>0</v>
      </c>
      <c r="F286" s="19"/>
      <c r="G286" s="13">
        <f>Tabelle1[[#This Row],[Planmässige Zahlung ]]+Tabelle1[[#This Row],[Sonderzahlung]]</f>
        <v>0</v>
      </c>
      <c r="H286" s="14">
        <f>Tabelle1[[#This Row],[Zahlung gesamt]]-Tabelle1[[#This Row],[Zinsleistung]]</f>
        <v>0</v>
      </c>
      <c r="I286" s="14">
        <f>IF(AnzahlZahlungen&lt;&gt;"",Tabelle1[[#This Row],[Startsaldo]]*Zinssatz/12,"")</f>
        <v>0</v>
      </c>
      <c r="J286" s="13">
        <f>IF(AnzahlZahlungen&lt;&gt;0,Tabelle1[[#This Row],[Startsaldo]]-Tabelle1[[#This Row],[Zahlung gesamt]],"")</f>
        <v>0</v>
      </c>
      <c r="K286" s="14">
        <f>K285+Tabelle1[[#This Row],[Zinsleistung]]</f>
        <v>58389.377411997804</v>
      </c>
    </row>
    <row r="287" spans="2:11" x14ac:dyDescent="0.25">
      <c r="B287" s="11">
        <f t="shared" si="9"/>
        <v>272</v>
      </c>
      <c r="C287" s="12">
        <f>IF((Startdatum),EOMONTH(C286,1))</f>
        <v>51532</v>
      </c>
      <c r="D287" s="13">
        <f t="shared" si="8"/>
        <v>0</v>
      </c>
      <c r="E287" s="14">
        <f>IF(AnzahlZahlungen&lt;&gt;"",IF(Tabelle1[[#This Row],[Startsaldo]]&lt;Rate,Tabelle1[[#This Row],[Startsaldo]],Rate),"")</f>
        <v>0</v>
      </c>
      <c r="F287" s="19"/>
      <c r="G287" s="13">
        <f>Tabelle1[[#This Row],[Planmässige Zahlung ]]+Tabelle1[[#This Row],[Sonderzahlung]]</f>
        <v>0</v>
      </c>
      <c r="H287" s="14">
        <f>Tabelle1[[#This Row],[Zahlung gesamt]]-Tabelle1[[#This Row],[Zinsleistung]]</f>
        <v>0</v>
      </c>
      <c r="I287" s="14">
        <f>IF(AnzahlZahlungen&lt;&gt;"",Tabelle1[[#This Row],[Startsaldo]]*Zinssatz/12,"")</f>
        <v>0</v>
      </c>
      <c r="J287" s="13">
        <f>IF(AnzahlZahlungen&lt;&gt;0,Tabelle1[[#This Row],[Startsaldo]]-Tabelle1[[#This Row],[Zahlung gesamt]],"")</f>
        <v>0</v>
      </c>
      <c r="K287" s="14">
        <f>K286+Tabelle1[[#This Row],[Zinsleistung]]</f>
        <v>58389.377411997804</v>
      </c>
    </row>
    <row r="288" spans="2:11" x14ac:dyDescent="0.25">
      <c r="B288" s="11">
        <f t="shared" si="9"/>
        <v>273</v>
      </c>
      <c r="C288" s="12">
        <f>IF((Startdatum),EOMONTH(C287,1))</f>
        <v>51560</v>
      </c>
      <c r="D288" s="13">
        <f t="shared" si="8"/>
        <v>0</v>
      </c>
      <c r="E288" s="14">
        <f>IF(AnzahlZahlungen&lt;&gt;"",IF(Tabelle1[[#This Row],[Startsaldo]]&lt;Rate,Tabelle1[[#This Row],[Startsaldo]],Rate),"")</f>
        <v>0</v>
      </c>
      <c r="F288" s="19"/>
      <c r="G288" s="13">
        <f>Tabelle1[[#This Row],[Planmässige Zahlung ]]+Tabelle1[[#This Row],[Sonderzahlung]]</f>
        <v>0</v>
      </c>
      <c r="H288" s="14">
        <f>Tabelle1[[#This Row],[Zahlung gesamt]]-Tabelle1[[#This Row],[Zinsleistung]]</f>
        <v>0</v>
      </c>
      <c r="I288" s="14">
        <f>IF(AnzahlZahlungen&lt;&gt;"",Tabelle1[[#This Row],[Startsaldo]]*Zinssatz/12,"")</f>
        <v>0</v>
      </c>
      <c r="J288" s="13">
        <f>IF(AnzahlZahlungen&lt;&gt;0,Tabelle1[[#This Row],[Startsaldo]]-Tabelle1[[#This Row],[Zahlung gesamt]],"")</f>
        <v>0</v>
      </c>
      <c r="K288" s="14">
        <f>K287+Tabelle1[[#This Row],[Zinsleistung]]</f>
        <v>58389.377411997804</v>
      </c>
    </row>
    <row r="289" spans="2:11" x14ac:dyDescent="0.25">
      <c r="B289" s="11">
        <f t="shared" si="9"/>
        <v>274</v>
      </c>
      <c r="C289" s="12">
        <f>IF((Startdatum),EOMONTH(C288,1))</f>
        <v>51591</v>
      </c>
      <c r="D289" s="13">
        <f t="shared" si="8"/>
        <v>0</v>
      </c>
      <c r="E289" s="14">
        <f>IF(AnzahlZahlungen&lt;&gt;"",IF(Tabelle1[[#This Row],[Startsaldo]]&lt;Rate,Tabelle1[[#This Row],[Startsaldo]],Rate),"")</f>
        <v>0</v>
      </c>
      <c r="F289" s="19"/>
      <c r="G289" s="13">
        <f>Tabelle1[[#This Row],[Planmässige Zahlung ]]+Tabelle1[[#This Row],[Sonderzahlung]]</f>
        <v>0</v>
      </c>
      <c r="H289" s="14">
        <f>Tabelle1[[#This Row],[Zahlung gesamt]]-Tabelle1[[#This Row],[Zinsleistung]]</f>
        <v>0</v>
      </c>
      <c r="I289" s="14">
        <f>IF(AnzahlZahlungen&lt;&gt;"",Tabelle1[[#This Row],[Startsaldo]]*Zinssatz/12,"")</f>
        <v>0</v>
      </c>
      <c r="J289" s="13">
        <f>IF(AnzahlZahlungen&lt;&gt;0,Tabelle1[[#This Row],[Startsaldo]]-Tabelle1[[#This Row],[Zahlung gesamt]],"")</f>
        <v>0</v>
      </c>
      <c r="K289" s="14">
        <f>K288+Tabelle1[[#This Row],[Zinsleistung]]</f>
        <v>58389.377411997804</v>
      </c>
    </row>
    <row r="290" spans="2:11" x14ac:dyDescent="0.25">
      <c r="B290" s="11">
        <f t="shared" si="9"/>
        <v>275</v>
      </c>
      <c r="C290" s="12">
        <f>IF((Startdatum),EOMONTH(C289,1))</f>
        <v>51621</v>
      </c>
      <c r="D290" s="13">
        <f t="shared" si="8"/>
        <v>0</v>
      </c>
      <c r="E290" s="14">
        <f>IF(AnzahlZahlungen&lt;&gt;"",IF(Tabelle1[[#This Row],[Startsaldo]]&lt;Rate,Tabelle1[[#This Row],[Startsaldo]],Rate),"")</f>
        <v>0</v>
      </c>
      <c r="F290" s="19"/>
      <c r="G290" s="13">
        <f>Tabelle1[[#This Row],[Planmässige Zahlung ]]+Tabelle1[[#This Row],[Sonderzahlung]]</f>
        <v>0</v>
      </c>
      <c r="H290" s="14">
        <f>Tabelle1[[#This Row],[Zahlung gesamt]]-Tabelle1[[#This Row],[Zinsleistung]]</f>
        <v>0</v>
      </c>
      <c r="I290" s="14">
        <f>IF(AnzahlZahlungen&lt;&gt;"",Tabelle1[[#This Row],[Startsaldo]]*Zinssatz/12,"")</f>
        <v>0</v>
      </c>
      <c r="J290" s="13">
        <f>IF(AnzahlZahlungen&lt;&gt;0,Tabelle1[[#This Row],[Startsaldo]]-Tabelle1[[#This Row],[Zahlung gesamt]],"")</f>
        <v>0</v>
      </c>
      <c r="K290" s="14">
        <f>K289+Tabelle1[[#This Row],[Zinsleistung]]</f>
        <v>58389.377411997804</v>
      </c>
    </row>
    <row r="291" spans="2:11" x14ac:dyDescent="0.25">
      <c r="B291" s="11">
        <f t="shared" si="9"/>
        <v>276</v>
      </c>
      <c r="C291" s="12">
        <f>IF((Startdatum),EOMONTH(C290,1))</f>
        <v>51652</v>
      </c>
      <c r="D291" s="13">
        <f t="shared" si="8"/>
        <v>0</v>
      </c>
      <c r="E291" s="14">
        <f>IF(AnzahlZahlungen&lt;&gt;"",IF(Tabelle1[[#This Row],[Startsaldo]]&lt;Rate,Tabelle1[[#This Row],[Startsaldo]],Rate),"")</f>
        <v>0</v>
      </c>
      <c r="F291" s="19"/>
      <c r="G291" s="13">
        <f>Tabelle1[[#This Row],[Planmässige Zahlung ]]+Tabelle1[[#This Row],[Sonderzahlung]]</f>
        <v>0</v>
      </c>
      <c r="H291" s="14">
        <f>Tabelle1[[#This Row],[Zahlung gesamt]]-Tabelle1[[#This Row],[Zinsleistung]]</f>
        <v>0</v>
      </c>
      <c r="I291" s="14">
        <f>IF(AnzahlZahlungen&lt;&gt;"",Tabelle1[[#This Row],[Startsaldo]]*Zinssatz/12,"")</f>
        <v>0</v>
      </c>
      <c r="J291" s="13">
        <f>IF(AnzahlZahlungen&lt;&gt;0,Tabelle1[[#This Row],[Startsaldo]]-Tabelle1[[#This Row],[Zahlung gesamt]],"")</f>
        <v>0</v>
      </c>
      <c r="K291" s="14">
        <f>K290+Tabelle1[[#This Row],[Zinsleistung]]</f>
        <v>58389.377411997804</v>
      </c>
    </row>
    <row r="292" spans="2:11" x14ac:dyDescent="0.25">
      <c r="B292" s="11">
        <f t="shared" si="9"/>
        <v>277</v>
      </c>
      <c r="C292" s="12">
        <f>IF((Startdatum),EOMONTH(C291,1))</f>
        <v>51682</v>
      </c>
      <c r="D292" s="13">
        <f t="shared" si="8"/>
        <v>0</v>
      </c>
      <c r="E292" s="14">
        <f>IF(AnzahlZahlungen&lt;&gt;"",IF(Tabelle1[[#This Row],[Startsaldo]]&lt;Rate,Tabelle1[[#This Row],[Startsaldo]],Rate),"")</f>
        <v>0</v>
      </c>
      <c r="F292" s="19"/>
      <c r="G292" s="13">
        <f>Tabelle1[[#This Row],[Planmässige Zahlung ]]+Tabelle1[[#This Row],[Sonderzahlung]]</f>
        <v>0</v>
      </c>
      <c r="H292" s="14">
        <f>Tabelle1[[#This Row],[Zahlung gesamt]]-Tabelle1[[#This Row],[Zinsleistung]]</f>
        <v>0</v>
      </c>
      <c r="I292" s="14">
        <f>IF(AnzahlZahlungen&lt;&gt;"",Tabelle1[[#This Row],[Startsaldo]]*Zinssatz/12,"")</f>
        <v>0</v>
      </c>
      <c r="J292" s="13">
        <f>IF(AnzahlZahlungen&lt;&gt;0,Tabelle1[[#This Row],[Startsaldo]]-Tabelle1[[#This Row],[Zahlung gesamt]],"")</f>
        <v>0</v>
      </c>
      <c r="K292" s="14">
        <f>K291+Tabelle1[[#This Row],[Zinsleistung]]</f>
        <v>58389.377411997804</v>
      </c>
    </row>
    <row r="293" spans="2:11" x14ac:dyDescent="0.25">
      <c r="B293" s="11">
        <f t="shared" si="9"/>
        <v>278</v>
      </c>
      <c r="C293" s="12">
        <f>IF((Startdatum),EOMONTH(C292,1))</f>
        <v>51713</v>
      </c>
      <c r="D293" s="13">
        <f t="shared" si="8"/>
        <v>0</v>
      </c>
      <c r="E293" s="14">
        <f>IF(AnzahlZahlungen&lt;&gt;"",IF(Tabelle1[[#This Row],[Startsaldo]]&lt;Rate,Tabelle1[[#This Row],[Startsaldo]],Rate),"")</f>
        <v>0</v>
      </c>
      <c r="F293" s="19"/>
      <c r="G293" s="13">
        <f>Tabelle1[[#This Row],[Planmässige Zahlung ]]+Tabelle1[[#This Row],[Sonderzahlung]]</f>
        <v>0</v>
      </c>
      <c r="H293" s="14">
        <f>Tabelle1[[#This Row],[Zahlung gesamt]]-Tabelle1[[#This Row],[Zinsleistung]]</f>
        <v>0</v>
      </c>
      <c r="I293" s="14">
        <f>IF(AnzahlZahlungen&lt;&gt;"",Tabelle1[[#This Row],[Startsaldo]]*Zinssatz/12,"")</f>
        <v>0</v>
      </c>
      <c r="J293" s="13">
        <f>IF(AnzahlZahlungen&lt;&gt;0,Tabelle1[[#This Row],[Startsaldo]]-Tabelle1[[#This Row],[Zahlung gesamt]],"")</f>
        <v>0</v>
      </c>
      <c r="K293" s="14">
        <f>K292+Tabelle1[[#This Row],[Zinsleistung]]</f>
        <v>58389.377411997804</v>
      </c>
    </row>
    <row r="294" spans="2:11" x14ac:dyDescent="0.25">
      <c r="B294" s="11">
        <f t="shared" si="9"/>
        <v>279</v>
      </c>
      <c r="C294" s="12">
        <f>IF((Startdatum),EOMONTH(C293,1))</f>
        <v>51744</v>
      </c>
      <c r="D294" s="13">
        <f t="shared" si="8"/>
        <v>0</v>
      </c>
      <c r="E294" s="14">
        <f>IF(AnzahlZahlungen&lt;&gt;"",IF(Tabelle1[[#This Row],[Startsaldo]]&lt;Rate,Tabelle1[[#This Row],[Startsaldo]],Rate),"")</f>
        <v>0</v>
      </c>
      <c r="F294" s="19"/>
      <c r="G294" s="13">
        <f>Tabelle1[[#This Row],[Planmässige Zahlung ]]+Tabelle1[[#This Row],[Sonderzahlung]]</f>
        <v>0</v>
      </c>
      <c r="H294" s="14">
        <f>Tabelle1[[#This Row],[Zahlung gesamt]]-Tabelle1[[#This Row],[Zinsleistung]]</f>
        <v>0</v>
      </c>
      <c r="I294" s="14">
        <f>IF(AnzahlZahlungen&lt;&gt;"",Tabelle1[[#This Row],[Startsaldo]]*Zinssatz/12,"")</f>
        <v>0</v>
      </c>
      <c r="J294" s="13">
        <f>IF(AnzahlZahlungen&lt;&gt;0,Tabelle1[[#This Row],[Startsaldo]]-Tabelle1[[#This Row],[Zahlung gesamt]],"")</f>
        <v>0</v>
      </c>
      <c r="K294" s="14">
        <f>K293+Tabelle1[[#This Row],[Zinsleistung]]</f>
        <v>58389.377411997804</v>
      </c>
    </row>
    <row r="295" spans="2:11" x14ac:dyDescent="0.25">
      <c r="B295" s="11">
        <f t="shared" si="9"/>
        <v>280</v>
      </c>
      <c r="C295" s="12">
        <f>IF((Startdatum),EOMONTH(C294,1))</f>
        <v>51774</v>
      </c>
      <c r="D295" s="13">
        <f t="shared" si="8"/>
        <v>0</v>
      </c>
      <c r="E295" s="14">
        <f>IF(AnzahlZahlungen&lt;&gt;"",IF(Tabelle1[[#This Row],[Startsaldo]]&lt;Rate,Tabelle1[[#This Row],[Startsaldo]],Rate),"")</f>
        <v>0</v>
      </c>
      <c r="F295" s="19"/>
      <c r="G295" s="13">
        <f>Tabelle1[[#This Row],[Planmässige Zahlung ]]+Tabelle1[[#This Row],[Sonderzahlung]]</f>
        <v>0</v>
      </c>
      <c r="H295" s="14">
        <f>Tabelle1[[#This Row],[Zahlung gesamt]]-Tabelle1[[#This Row],[Zinsleistung]]</f>
        <v>0</v>
      </c>
      <c r="I295" s="14">
        <f>IF(AnzahlZahlungen&lt;&gt;"",Tabelle1[[#This Row],[Startsaldo]]*Zinssatz/12,"")</f>
        <v>0</v>
      </c>
      <c r="J295" s="13">
        <f>IF(AnzahlZahlungen&lt;&gt;0,Tabelle1[[#This Row],[Startsaldo]]-Tabelle1[[#This Row],[Zahlung gesamt]],"")</f>
        <v>0</v>
      </c>
      <c r="K295" s="14">
        <f>K294+Tabelle1[[#This Row],[Zinsleistung]]</f>
        <v>58389.377411997804</v>
      </c>
    </row>
    <row r="296" spans="2:11" x14ac:dyDescent="0.25">
      <c r="B296" s="11">
        <f t="shared" si="9"/>
        <v>281</v>
      </c>
      <c r="C296" s="12">
        <f>IF((Startdatum),EOMONTH(C295,1))</f>
        <v>51805</v>
      </c>
      <c r="D296" s="13">
        <f t="shared" si="8"/>
        <v>0</v>
      </c>
      <c r="E296" s="14">
        <f>IF(AnzahlZahlungen&lt;&gt;"",IF(Tabelle1[[#This Row],[Startsaldo]]&lt;Rate,Tabelle1[[#This Row],[Startsaldo]],Rate),"")</f>
        <v>0</v>
      </c>
      <c r="F296" s="19"/>
      <c r="G296" s="13">
        <f>Tabelle1[[#This Row],[Planmässige Zahlung ]]+Tabelle1[[#This Row],[Sonderzahlung]]</f>
        <v>0</v>
      </c>
      <c r="H296" s="14">
        <f>Tabelle1[[#This Row],[Zahlung gesamt]]-Tabelle1[[#This Row],[Zinsleistung]]</f>
        <v>0</v>
      </c>
      <c r="I296" s="14">
        <f>IF(AnzahlZahlungen&lt;&gt;"",Tabelle1[[#This Row],[Startsaldo]]*Zinssatz/12,"")</f>
        <v>0</v>
      </c>
      <c r="J296" s="13">
        <f>IF(AnzahlZahlungen&lt;&gt;0,Tabelle1[[#This Row],[Startsaldo]]-Tabelle1[[#This Row],[Zahlung gesamt]],"")</f>
        <v>0</v>
      </c>
      <c r="K296" s="14">
        <f>K295+Tabelle1[[#This Row],[Zinsleistung]]</f>
        <v>58389.377411997804</v>
      </c>
    </row>
    <row r="297" spans="2:11" x14ac:dyDescent="0.25">
      <c r="B297" s="11">
        <f t="shared" si="9"/>
        <v>282</v>
      </c>
      <c r="C297" s="12">
        <f>IF((Startdatum),EOMONTH(C296,1))</f>
        <v>51835</v>
      </c>
      <c r="D297" s="13">
        <f t="shared" si="8"/>
        <v>0</v>
      </c>
      <c r="E297" s="14">
        <f>IF(AnzahlZahlungen&lt;&gt;"",IF(Tabelle1[[#This Row],[Startsaldo]]&lt;Rate,Tabelle1[[#This Row],[Startsaldo]],Rate),"")</f>
        <v>0</v>
      </c>
      <c r="F297" s="19"/>
      <c r="G297" s="13">
        <f>Tabelle1[[#This Row],[Planmässige Zahlung ]]+Tabelle1[[#This Row],[Sonderzahlung]]</f>
        <v>0</v>
      </c>
      <c r="H297" s="14">
        <f>Tabelle1[[#This Row],[Zahlung gesamt]]-Tabelle1[[#This Row],[Zinsleistung]]</f>
        <v>0</v>
      </c>
      <c r="I297" s="14">
        <f>IF(AnzahlZahlungen&lt;&gt;"",Tabelle1[[#This Row],[Startsaldo]]*Zinssatz/12,"")</f>
        <v>0</v>
      </c>
      <c r="J297" s="13">
        <f>IF(AnzahlZahlungen&lt;&gt;0,Tabelle1[[#This Row],[Startsaldo]]-Tabelle1[[#This Row],[Zahlung gesamt]],"")</f>
        <v>0</v>
      </c>
      <c r="K297" s="14">
        <f>K296+Tabelle1[[#This Row],[Zinsleistung]]</f>
        <v>58389.377411997804</v>
      </c>
    </row>
    <row r="298" spans="2:11" x14ac:dyDescent="0.25">
      <c r="B298" s="11">
        <f t="shared" si="9"/>
        <v>283</v>
      </c>
      <c r="C298" s="12">
        <f>IF((Startdatum),EOMONTH(C297,1))</f>
        <v>51866</v>
      </c>
      <c r="D298" s="13">
        <f t="shared" si="8"/>
        <v>0</v>
      </c>
      <c r="E298" s="14">
        <f>IF(AnzahlZahlungen&lt;&gt;"",IF(Tabelle1[[#This Row],[Startsaldo]]&lt;Rate,Tabelle1[[#This Row],[Startsaldo]],Rate),"")</f>
        <v>0</v>
      </c>
      <c r="F298" s="19"/>
      <c r="G298" s="13">
        <f>Tabelle1[[#This Row],[Planmässige Zahlung ]]+Tabelle1[[#This Row],[Sonderzahlung]]</f>
        <v>0</v>
      </c>
      <c r="H298" s="14">
        <f>Tabelle1[[#This Row],[Zahlung gesamt]]-Tabelle1[[#This Row],[Zinsleistung]]</f>
        <v>0</v>
      </c>
      <c r="I298" s="14">
        <f>IF(AnzahlZahlungen&lt;&gt;"",Tabelle1[[#This Row],[Startsaldo]]*Zinssatz/12,"")</f>
        <v>0</v>
      </c>
      <c r="J298" s="13">
        <f>IF(AnzahlZahlungen&lt;&gt;0,Tabelle1[[#This Row],[Startsaldo]]-Tabelle1[[#This Row],[Zahlung gesamt]],"")</f>
        <v>0</v>
      </c>
      <c r="K298" s="14">
        <f>K297+Tabelle1[[#This Row],[Zinsleistung]]</f>
        <v>58389.377411997804</v>
      </c>
    </row>
    <row r="299" spans="2:11" x14ac:dyDescent="0.25">
      <c r="B299" s="11">
        <f t="shared" si="9"/>
        <v>284</v>
      </c>
      <c r="C299" s="12">
        <f>IF((Startdatum),EOMONTH(C298,1))</f>
        <v>51897</v>
      </c>
      <c r="D299" s="13">
        <f t="shared" si="8"/>
        <v>0</v>
      </c>
      <c r="E299" s="14">
        <f>IF(AnzahlZahlungen&lt;&gt;"",IF(Tabelle1[[#This Row],[Startsaldo]]&lt;Rate,Tabelle1[[#This Row],[Startsaldo]],Rate),"")</f>
        <v>0</v>
      </c>
      <c r="F299" s="19"/>
      <c r="G299" s="13">
        <f>Tabelle1[[#This Row],[Planmässige Zahlung ]]+Tabelle1[[#This Row],[Sonderzahlung]]</f>
        <v>0</v>
      </c>
      <c r="H299" s="14">
        <f>Tabelle1[[#This Row],[Zahlung gesamt]]-Tabelle1[[#This Row],[Zinsleistung]]</f>
        <v>0</v>
      </c>
      <c r="I299" s="14">
        <f>IF(AnzahlZahlungen&lt;&gt;"",Tabelle1[[#This Row],[Startsaldo]]*Zinssatz/12,"")</f>
        <v>0</v>
      </c>
      <c r="J299" s="13">
        <f>IF(AnzahlZahlungen&lt;&gt;0,Tabelle1[[#This Row],[Startsaldo]]-Tabelle1[[#This Row],[Zahlung gesamt]],"")</f>
        <v>0</v>
      </c>
      <c r="K299" s="14">
        <f>K298+Tabelle1[[#This Row],[Zinsleistung]]</f>
        <v>58389.377411997804</v>
      </c>
    </row>
    <row r="300" spans="2:11" x14ac:dyDescent="0.25">
      <c r="B300" s="11">
        <f t="shared" si="9"/>
        <v>285</v>
      </c>
      <c r="C300" s="12">
        <f>IF((Startdatum),EOMONTH(C299,1))</f>
        <v>51925</v>
      </c>
      <c r="D300" s="13">
        <f t="shared" si="8"/>
        <v>0</v>
      </c>
      <c r="E300" s="14">
        <f>IF(AnzahlZahlungen&lt;&gt;"",IF(Tabelle1[[#This Row],[Startsaldo]]&lt;Rate,Tabelle1[[#This Row],[Startsaldo]],Rate),"")</f>
        <v>0</v>
      </c>
      <c r="F300" s="19"/>
      <c r="G300" s="13">
        <f>Tabelle1[[#This Row],[Planmässige Zahlung ]]+Tabelle1[[#This Row],[Sonderzahlung]]</f>
        <v>0</v>
      </c>
      <c r="H300" s="14">
        <f>Tabelle1[[#This Row],[Zahlung gesamt]]-Tabelle1[[#This Row],[Zinsleistung]]</f>
        <v>0</v>
      </c>
      <c r="I300" s="14">
        <f>IF(AnzahlZahlungen&lt;&gt;"",Tabelle1[[#This Row],[Startsaldo]]*Zinssatz/12,"")</f>
        <v>0</v>
      </c>
      <c r="J300" s="13">
        <f>IF(AnzahlZahlungen&lt;&gt;0,Tabelle1[[#This Row],[Startsaldo]]-Tabelle1[[#This Row],[Zahlung gesamt]],"")</f>
        <v>0</v>
      </c>
      <c r="K300" s="14">
        <f>K299+Tabelle1[[#This Row],[Zinsleistung]]</f>
        <v>58389.377411997804</v>
      </c>
    </row>
    <row r="301" spans="2:11" x14ac:dyDescent="0.25">
      <c r="B301" s="11">
        <f t="shared" si="9"/>
        <v>286</v>
      </c>
      <c r="C301" s="12">
        <f>IF((Startdatum),EOMONTH(C300,1))</f>
        <v>51956</v>
      </c>
      <c r="D301" s="13">
        <f t="shared" si="8"/>
        <v>0</v>
      </c>
      <c r="E301" s="14">
        <f>IF(AnzahlZahlungen&lt;&gt;"",IF(Tabelle1[[#This Row],[Startsaldo]]&lt;Rate,Tabelle1[[#This Row],[Startsaldo]],Rate),"")</f>
        <v>0</v>
      </c>
      <c r="F301" s="19"/>
      <c r="G301" s="13">
        <f>Tabelle1[[#This Row],[Planmässige Zahlung ]]+Tabelle1[[#This Row],[Sonderzahlung]]</f>
        <v>0</v>
      </c>
      <c r="H301" s="14">
        <f>Tabelle1[[#This Row],[Zahlung gesamt]]-Tabelle1[[#This Row],[Zinsleistung]]</f>
        <v>0</v>
      </c>
      <c r="I301" s="14">
        <f>IF(AnzahlZahlungen&lt;&gt;"",Tabelle1[[#This Row],[Startsaldo]]*Zinssatz/12,"")</f>
        <v>0</v>
      </c>
      <c r="J301" s="13">
        <f>IF(AnzahlZahlungen&lt;&gt;0,Tabelle1[[#This Row],[Startsaldo]]-Tabelle1[[#This Row],[Zahlung gesamt]],"")</f>
        <v>0</v>
      </c>
      <c r="K301" s="14">
        <f>K300+Tabelle1[[#This Row],[Zinsleistung]]</f>
        <v>58389.377411997804</v>
      </c>
    </row>
    <row r="302" spans="2:11" x14ac:dyDescent="0.25">
      <c r="B302" s="11">
        <f t="shared" si="9"/>
        <v>287</v>
      </c>
      <c r="C302" s="12">
        <f>IF((Startdatum),EOMONTH(C301,1))</f>
        <v>51986</v>
      </c>
      <c r="D302" s="13">
        <f t="shared" si="8"/>
        <v>0</v>
      </c>
      <c r="E302" s="14">
        <f>IF(AnzahlZahlungen&lt;&gt;"",IF(Tabelle1[[#This Row],[Startsaldo]]&lt;Rate,Tabelle1[[#This Row],[Startsaldo]],Rate),"")</f>
        <v>0</v>
      </c>
      <c r="F302" s="19"/>
      <c r="G302" s="13">
        <f>Tabelle1[[#This Row],[Planmässige Zahlung ]]+Tabelle1[[#This Row],[Sonderzahlung]]</f>
        <v>0</v>
      </c>
      <c r="H302" s="14">
        <f>Tabelle1[[#This Row],[Zahlung gesamt]]-Tabelle1[[#This Row],[Zinsleistung]]</f>
        <v>0</v>
      </c>
      <c r="I302" s="14">
        <f>IF(AnzahlZahlungen&lt;&gt;"",Tabelle1[[#This Row],[Startsaldo]]*Zinssatz/12,"")</f>
        <v>0</v>
      </c>
      <c r="J302" s="13">
        <f>IF(AnzahlZahlungen&lt;&gt;0,Tabelle1[[#This Row],[Startsaldo]]-Tabelle1[[#This Row],[Zahlung gesamt]],"")</f>
        <v>0</v>
      </c>
      <c r="K302" s="14">
        <f>K301+Tabelle1[[#This Row],[Zinsleistung]]</f>
        <v>58389.377411997804</v>
      </c>
    </row>
    <row r="303" spans="2:11" x14ac:dyDescent="0.25">
      <c r="B303" s="11">
        <f t="shared" si="9"/>
        <v>288</v>
      </c>
      <c r="C303" s="12">
        <f>IF((Startdatum),EOMONTH(C302,1))</f>
        <v>52017</v>
      </c>
      <c r="D303" s="13">
        <f t="shared" si="8"/>
        <v>0</v>
      </c>
      <c r="E303" s="14">
        <f>IF(AnzahlZahlungen&lt;&gt;"",IF(Tabelle1[[#This Row],[Startsaldo]]&lt;Rate,Tabelle1[[#This Row],[Startsaldo]],Rate),"")</f>
        <v>0</v>
      </c>
      <c r="F303" s="19"/>
      <c r="G303" s="13">
        <f>Tabelle1[[#This Row],[Planmässige Zahlung ]]+Tabelle1[[#This Row],[Sonderzahlung]]</f>
        <v>0</v>
      </c>
      <c r="H303" s="14">
        <f>Tabelle1[[#This Row],[Zahlung gesamt]]-Tabelle1[[#This Row],[Zinsleistung]]</f>
        <v>0</v>
      </c>
      <c r="I303" s="14">
        <f>IF(AnzahlZahlungen&lt;&gt;"",Tabelle1[[#This Row],[Startsaldo]]*Zinssatz/12,"")</f>
        <v>0</v>
      </c>
      <c r="J303" s="13">
        <f>IF(AnzahlZahlungen&lt;&gt;0,Tabelle1[[#This Row],[Startsaldo]]-Tabelle1[[#This Row],[Zahlung gesamt]],"")</f>
        <v>0</v>
      </c>
      <c r="K303" s="14">
        <f>K302+Tabelle1[[#This Row],[Zinsleistung]]</f>
        <v>58389.377411997804</v>
      </c>
    </row>
    <row r="304" spans="2:11" x14ac:dyDescent="0.25">
      <c r="B304" s="11">
        <f t="shared" si="9"/>
        <v>289</v>
      </c>
      <c r="C304" s="12">
        <f>IF((Startdatum),EOMONTH(C303,1))</f>
        <v>52047</v>
      </c>
      <c r="D304" s="13">
        <f t="shared" si="8"/>
        <v>0</v>
      </c>
      <c r="E304" s="14">
        <f>IF(AnzahlZahlungen&lt;&gt;"",IF(Tabelle1[[#This Row],[Startsaldo]]&lt;Rate,Tabelle1[[#This Row],[Startsaldo]],Rate),"")</f>
        <v>0</v>
      </c>
      <c r="F304" s="19"/>
      <c r="G304" s="13">
        <f>Tabelle1[[#This Row],[Planmässige Zahlung ]]+Tabelle1[[#This Row],[Sonderzahlung]]</f>
        <v>0</v>
      </c>
      <c r="H304" s="14">
        <f>Tabelle1[[#This Row],[Zahlung gesamt]]-Tabelle1[[#This Row],[Zinsleistung]]</f>
        <v>0</v>
      </c>
      <c r="I304" s="14">
        <f>IF(AnzahlZahlungen&lt;&gt;"",Tabelle1[[#This Row],[Startsaldo]]*Zinssatz/12,"")</f>
        <v>0</v>
      </c>
      <c r="J304" s="13">
        <f>IF(AnzahlZahlungen&lt;&gt;0,Tabelle1[[#This Row],[Startsaldo]]-Tabelle1[[#This Row],[Zahlung gesamt]],"")</f>
        <v>0</v>
      </c>
      <c r="K304" s="14">
        <f>K303+Tabelle1[[#This Row],[Zinsleistung]]</f>
        <v>58389.377411997804</v>
      </c>
    </row>
    <row r="305" spans="2:11" x14ac:dyDescent="0.25">
      <c r="B305" s="11">
        <f t="shared" si="9"/>
        <v>290</v>
      </c>
      <c r="C305" s="12">
        <f>IF((Startdatum),EOMONTH(C304,1))</f>
        <v>52078</v>
      </c>
      <c r="D305" s="13">
        <f t="shared" si="8"/>
        <v>0</v>
      </c>
      <c r="E305" s="14">
        <f>IF(AnzahlZahlungen&lt;&gt;"",IF(Tabelle1[[#This Row],[Startsaldo]]&lt;Rate,Tabelle1[[#This Row],[Startsaldo]],Rate),"")</f>
        <v>0</v>
      </c>
      <c r="F305" s="19"/>
      <c r="G305" s="13">
        <f>Tabelle1[[#This Row],[Planmässige Zahlung ]]+Tabelle1[[#This Row],[Sonderzahlung]]</f>
        <v>0</v>
      </c>
      <c r="H305" s="14">
        <f>Tabelle1[[#This Row],[Zahlung gesamt]]-Tabelle1[[#This Row],[Zinsleistung]]</f>
        <v>0</v>
      </c>
      <c r="I305" s="14">
        <f>IF(AnzahlZahlungen&lt;&gt;"",Tabelle1[[#This Row],[Startsaldo]]*Zinssatz/12,"")</f>
        <v>0</v>
      </c>
      <c r="J305" s="13">
        <f>IF(AnzahlZahlungen&lt;&gt;0,Tabelle1[[#This Row],[Startsaldo]]-Tabelle1[[#This Row],[Zahlung gesamt]],"")</f>
        <v>0</v>
      </c>
      <c r="K305" s="14">
        <f>K304+Tabelle1[[#This Row],[Zinsleistung]]</f>
        <v>58389.377411997804</v>
      </c>
    </row>
    <row r="306" spans="2:11" x14ac:dyDescent="0.25">
      <c r="B306" s="11">
        <f t="shared" si="9"/>
        <v>291</v>
      </c>
      <c r="C306" s="12">
        <f>IF((Startdatum),EOMONTH(C305,1))</f>
        <v>52109</v>
      </c>
      <c r="D306" s="13">
        <f t="shared" si="8"/>
        <v>0</v>
      </c>
      <c r="E306" s="14">
        <f>IF(AnzahlZahlungen&lt;&gt;"",IF(Tabelle1[[#This Row],[Startsaldo]]&lt;Rate,Tabelle1[[#This Row],[Startsaldo]],Rate),"")</f>
        <v>0</v>
      </c>
      <c r="F306" s="19"/>
      <c r="G306" s="13">
        <f>Tabelle1[[#This Row],[Planmässige Zahlung ]]+Tabelle1[[#This Row],[Sonderzahlung]]</f>
        <v>0</v>
      </c>
      <c r="H306" s="14">
        <f>Tabelle1[[#This Row],[Zahlung gesamt]]-Tabelle1[[#This Row],[Zinsleistung]]</f>
        <v>0</v>
      </c>
      <c r="I306" s="14">
        <f>IF(AnzahlZahlungen&lt;&gt;"",Tabelle1[[#This Row],[Startsaldo]]*Zinssatz/12,"")</f>
        <v>0</v>
      </c>
      <c r="J306" s="13">
        <f>IF(AnzahlZahlungen&lt;&gt;0,Tabelle1[[#This Row],[Startsaldo]]-Tabelle1[[#This Row],[Zahlung gesamt]],"")</f>
        <v>0</v>
      </c>
      <c r="K306" s="14">
        <f>K305+Tabelle1[[#This Row],[Zinsleistung]]</f>
        <v>58389.377411997804</v>
      </c>
    </row>
    <row r="307" spans="2:11" x14ac:dyDescent="0.25">
      <c r="B307" s="11">
        <f t="shared" si="9"/>
        <v>292</v>
      </c>
      <c r="C307" s="12">
        <f>IF((Startdatum),EOMONTH(C306,1))</f>
        <v>52139</v>
      </c>
      <c r="D307" s="13">
        <f t="shared" si="8"/>
        <v>0</v>
      </c>
      <c r="E307" s="14">
        <f>IF(AnzahlZahlungen&lt;&gt;"",IF(Tabelle1[[#This Row],[Startsaldo]]&lt;Rate,Tabelle1[[#This Row],[Startsaldo]],Rate),"")</f>
        <v>0</v>
      </c>
      <c r="F307" s="19"/>
      <c r="G307" s="13">
        <f>Tabelle1[[#This Row],[Planmässige Zahlung ]]+Tabelle1[[#This Row],[Sonderzahlung]]</f>
        <v>0</v>
      </c>
      <c r="H307" s="14">
        <f>Tabelle1[[#This Row],[Zahlung gesamt]]-Tabelle1[[#This Row],[Zinsleistung]]</f>
        <v>0</v>
      </c>
      <c r="I307" s="14">
        <f>IF(AnzahlZahlungen&lt;&gt;"",Tabelle1[[#This Row],[Startsaldo]]*Zinssatz/12,"")</f>
        <v>0</v>
      </c>
      <c r="J307" s="13">
        <f>IF(AnzahlZahlungen&lt;&gt;0,Tabelle1[[#This Row],[Startsaldo]]-Tabelle1[[#This Row],[Zahlung gesamt]],"")</f>
        <v>0</v>
      </c>
      <c r="K307" s="14">
        <f>K306+Tabelle1[[#This Row],[Zinsleistung]]</f>
        <v>58389.377411997804</v>
      </c>
    </row>
    <row r="308" spans="2:11" x14ac:dyDescent="0.25">
      <c r="B308" s="11">
        <f t="shared" si="9"/>
        <v>293</v>
      </c>
      <c r="C308" s="12">
        <f>IF((Startdatum),EOMONTH(C307,1))</f>
        <v>52170</v>
      </c>
      <c r="D308" s="13">
        <f t="shared" si="8"/>
        <v>0</v>
      </c>
      <c r="E308" s="14">
        <f>IF(AnzahlZahlungen&lt;&gt;"",IF(Tabelle1[[#This Row],[Startsaldo]]&lt;Rate,Tabelle1[[#This Row],[Startsaldo]],Rate),"")</f>
        <v>0</v>
      </c>
      <c r="F308" s="19"/>
      <c r="G308" s="13">
        <f>Tabelle1[[#This Row],[Planmässige Zahlung ]]+Tabelle1[[#This Row],[Sonderzahlung]]</f>
        <v>0</v>
      </c>
      <c r="H308" s="14">
        <f>Tabelle1[[#This Row],[Zahlung gesamt]]-Tabelle1[[#This Row],[Zinsleistung]]</f>
        <v>0</v>
      </c>
      <c r="I308" s="14">
        <f>IF(AnzahlZahlungen&lt;&gt;"",Tabelle1[[#This Row],[Startsaldo]]*Zinssatz/12,"")</f>
        <v>0</v>
      </c>
      <c r="J308" s="13">
        <f>IF(AnzahlZahlungen&lt;&gt;0,Tabelle1[[#This Row],[Startsaldo]]-Tabelle1[[#This Row],[Zahlung gesamt]],"")</f>
        <v>0</v>
      </c>
      <c r="K308" s="14">
        <f>K307+Tabelle1[[#This Row],[Zinsleistung]]</f>
        <v>58389.377411997804</v>
      </c>
    </row>
    <row r="309" spans="2:11" x14ac:dyDescent="0.25">
      <c r="B309" s="11">
        <f t="shared" si="9"/>
        <v>294</v>
      </c>
      <c r="C309" s="12">
        <f>IF((Startdatum),EOMONTH(C308,1))</f>
        <v>52200</v>
      </c>
      <c r="D309" s="13">
        <f t="shared" si="8"/>
        <v>0</v>
      </c>
      <c r="E309" s="14">
        <f>IF(AnzahlZahlungen&lt;&gt;"",IF(Tabelle1[[#This Row],[Startsaldo]]&lt;Rate,Tabelle1[[#This Row],[Startsaldo]],Rate),"")</f>
        <v>0</v>
      </c>
      <c r="F309" s="19"/>
      <c r="G309" s="13">
        <f>Tabelle1[[#This Row],[Planmässige Zahlung ]]+Tabelle1[[#This Row],[Sonderzahlung]]</f>
        <v>0</v>
      </c>
      <c r="H309" s="14">
        <f>Tabelle1[[#This Row],[Zahlung gesamt]]-Tabelle1[[#This Row],[Zinsleistung]]</f>
        <v>0</v>
      </c>
      <c r="I309" s="14">
        <f>IF(AnzahlZahlungen&lt;&gt;"",Tabelle1[[#This Row],[Startsaldo]]*Zinssatz/12,"")</f>
        <v>0</v>
      </c>
      <c r="J309" s="13">
        <f>IF(AnzahlZahlungen&lt;&gt;0,Tabelle1[[#This Row],[Startsaldo]]-Tabelle1[[#This Row],[Zahlung gesamt]],"")</f>
        <v>0</v>
      </c>
      <c r="K309" s="14">
        <f>K308+Tabelle1[[#This Row],[Zinsleistung]]</f>
        <v>58389.377411997804</v>
      </c>
    </row>
    <row r="310" spans="2:11" x14ac:dyDescent="0.25">
      <c r="B310" s="11">
        <f t="shared" si="9"/>
        <v>295</v>
      </c>
      <c r="C310" s="12">
        <f>IF((Startdatum),EOMONTH(C309,1))</f>
        <v>52231</v>
      </c>
      <c r="D310" s="13">
        <f t="shared" si="8"/>
        <v>0</v>
      </c>
      <c r="E310" s="14">
        <f>IF(AnzahlZahlungen&lt;&gt;"",IF(Tabelle1[[#This Row],[Startsaldo]]&lt;Rate,Tabelle1[[#This Row],[Startsaldo]],Rate),"")</f>
        <v>0</v>
      </c>
      <c r="F310" s="19"/>
      <c r="G310" s="13">
        <f>Tabelle1[[#This Row],[Planmässige Zahlung ]]+Tabelle1[[#This Row],[Sonderzahlung]]</f>
        <v>0</v>
      </c>
      <c r="H310" s="14">
        <f>Tabelle1[[#This Row],[Zahlung gesamt]]-Tabelle1[[#This Row],[Zinsleistung]]</f>
        <v>0</v>
      </c>
      <c r="I310" s="14">
        <f>IF(AnzahlZahlungen&lt;&gt;"",Tabelle1[[#This Row],[Startsaldo]]*Zinssatz/12,"")</f>
        <v>0</v>
      </c>
      <c r="J310" s="13">
        <f>IF(AnzahlZahlungen&lt;&gt;0,Tabelle1[[#This Row],[Startsaldo]]-Tabelle1[[#This Row],[Zahlung gesamt]],"")</f>
        <v>0</v>
      </c>
      <c r="K310" s="14">
        <f>K309+Tabelle1[[#This Row],[Zinsleistung]]</f>
        <v>58389.377411997804</v>
      </c>
    </row>
    <row r="311" spans="2:11" x14ac:dyDescent="0.25">
      <c r="B311" s="11">
        <f t="shared" si="9"/>
        <v>296</v>
      </c>
      <c r="C311" s="12">
        <f>IF((Startdatum),EOMONTH(C310,1))</f>
        <v>52262</v>
      </c>
      <c r="D311" s="13">
        <f t="shared" si="8"/>
        <v>0</v>
      </c>
      <c r="E311" s="14">
        <f>IF(AnzahlZahlungen&lt;&gt;"",IF(Tabelle1[[#This Row],[Startsaldo]]&lt;Rate,Tabelle1[[#This Row],[Startsaldo]],Rate),"")</f>
        <v>0</v>
      </c>
      <c r="F311" s="19"/>
      <c r="G311" s="13">
        <f>Tabelle1[[#This Row],[Planmässige Zahlung ]]+Tabelle1[[#This Row],[Sonderzahlung]]</f>
        <v>0</v>
      </c>
      <c r="H311" s="14">
        <f>Tabelle1[[#This Row],[Zahlung gesamt]]-Tabelle1[[#This Row],[Zinsleistung]]</f>
        <v>0</v>
      </c>
      <c r="I311" s="14">
        <f>IF(AnzahlZahlungen&lt;&gt;"",Tabelle1[[#This Row],[Startsaldo]]*Zinssatz/12,"")</f>
        <v>0</v>
      </c>
      <c r="J311" s="13">
        <f>IF(AnzahlZahlungen&lt;&gt;0,Tabelle1[[#This Row],[Startsaldo]]-Tabelle1[[#This Row],[Zahlung gesamt]],"")</f>
        <v>0</v>
      </c>
      <c r="K311" s="14">
        <f>K310+Tabelle1[[#This Row],[Zinsleistung]]</f>
        <v>58389.377411997804</v>
      </c>
    </row>
    <row r="312" spans="2:11" x14ac:dyDescent="0.25">
      <c r="B312" s="11">
        <f t="shared" si="9"/>
        <v>297</v>
      </c>
      <c r="C312" s="12">
        <f>IF((Startdatum),EOMONTH(C311,1))</f>
        <v>52290</v>
      </c>
      <c r="D312" s="13">
        <f t="shared" si="8"/>
        <v>0</v>
      </c>
      <c r="E312" s="14">
        <f>IF(AnzahlZahlungen&lt;&gt;"",IF(Tabelle1[[#This Row],[Startsaldo]]&lt;Rate,Tabelle1[[#This Row],[Startsaldo]],Rate),"")</f>
        <v>0</v>
      </c>
      <c r="F312" s="19"/>
      <c r="G312" s="13">
        <f>Tabelle1[[#This Row],[Planmässige Zahlung ]]+Tabelle1[[#This Row],[Sonderzahlung]]</f>
        <v>0</v>
      </c>
      <c r="H312" s="14">
        <f>Tabelle1[[#This Row],[Zahlung gesamt]]-Tabelle1[[#This Row],[Zinsleistung]]</f>
        <v>0</v>
      </c>
      <c r="I312" s="14">
        <f>IF(AnzahlZahlungen&lt;&gt;"",Tabelle1[[#This Row],[Startsaldo]]*Zinssatz/12,"")</f>
        <v>0</v>
      </c>
      <c r="J312" s="13">
        <f>IF(AnzahlZahlungen&lt;&gt;0,Tabelle1[[#This Row],[Startsaldo]]-Tabelle1[[#This Row],[Zahlung gesamt]],"")</f>
        <v>0</v>
      </c>
      <c r="K312" s="14">
        <f>K311+Tabelle1[[#This Row],[Zinsleistung]]</f>
        <v>58389.377411997804</v>
      </c>
    </row>
    <row r="313" spans="2:11" x14ac:dyDescent="0.25">
      <c r="B313" s="11">
        <f t="shared" si="9"/>
        <v>298</v>
      </c>
      <c r="C313" s="12">
        <f>IF((Startdatum),EOMONTH(C312,1))</f>
        <v>52321</v>
      </c>
      <c r="D313" s="13">
        <f t="shared" si="8"/>
        <v>0</v>
      </c>
      <c r="E313" s="14">
        <f>IF(AnzahlZahlungen&lt;&gt;"",IF(Tabelle1[[#This Row],[Startsaldo]]&lt;Rate,Tabelle1[[#This Row],[Startsaldo]],Rate),"")</f>
        <v>0</v>
      </c>
      <c r="F313" s="19"/>
      <c r="G313" s="13">
        <f>Tabelle1[[#This Row],[Planmässige Zahlung ]]+Tabelle1[[#This Row],[Sonderzahlung]]</f>
        <v>0</v>
      </c>
      <c r="H313" s="14">
        <f>Tabelle1[[#This Row],[Zahlung gesamt]]-Tabelle1[[#This Row],[Zinsleistung]]</f>
        <v>0</v>
      </c>
      <c r="I313" s="14">
        <f>IF(AnzahlZahlungen&lt;&gt;"",Tabelle1[[#This Row],[Startsaldo]]*Zinssatz/12,"")</f>
        <v>0</v>
      </c>
      <c r="J313" s="13">
        <f>IF(AnzahlZahlungen&lt;&gt;0,Tabelle1[[#This Row],[Startsaldo]]-Tabelle1[[#This Row],[Zahlung gesamt]],"")</f>
        <v>0</v>
      </c>
      <c r="K313" s="14">
        <f>K312+Tabelle1[[#This Row],[Zinsleistung]]</f>
        <v>58389.377411997804</v>
      </c>
    </row>
    <row r="314" spans="2:11" x14ac:dyDescent="0.25">
      <c r="B314" s="11">
        <f t="shared" si="9"/>
        <v>299</v>
      </c>
      <c r="C314" s="12">
        <f>IF((Startdatum),EOMONTH(C313,1))</f>
        <v>52351</v>
      </c>
      <c r="D314" s="13">
        <f t="shared" si="8"/>
        <v>0</v>
      </c>
      <c r="E314" s="14">
        <f>IF(AnzahlZahlungen&lt;&gt;"",IF(Tabelle1[[#This Row],[Startsaldo]]&lt;Rate,Tabelle1[[#This Row],[Startsaldo]],Rate),"")</f>
        <v>0</v>
      </c>
      <c r="F314" s="19"/>
      <c r="G314" s="13">
        <f>Tabelle1[[#This Row],[Planmässige Zahlung ]]+Tabelle1[[#This Row],[Sonderzahlung]]</f>
        <v>0</v>
      </c>
      <c r="H314" s="14">
        <f>Tabelle1[[#This Row],[Zahlung gesamt]]-Tabelle1[[#This Row],[Zinsleistung]]</f>
        <v>0</v>
      </c>
      <c r="I314" s="14">
        <f>IF(AnzahlZahlungen&lt;&gt;"",Tabelle1[[#This Row],[Startsaldo]]*Zinssatz/12,"")</f>
        <v>0</v>
      </c>
      <c r="J314" s="13">
        <f>IF(AnzahlZahlungen&lt;&gt;0,Tabelle1[[#This Row],[Startsaldo]]-Tabelle1[[#This Row],[Zahlung gesamt]],"")</f>
        <v>0</v>
      </c>
      <c r="K314" s="14">
        <f>K313+Tabelle1[[#This Row],[Zinsleistung]]</f>
        <v>58389.377411997804</v>
      </c>
    </row>
    <row r="315" spans="2:11" x14ac:dyDescent="0.25">
      <c r="B315" s="11">
        <f t="shared" si="9"/>
        <v>300</v>
      </c>
      <c r="C315" s="12">
        <f>IF((Startdatum),EOMONTH(C314,1))</f>
        <v>52382</v>
      </c>
      <c r="D315" s="13">
        <f t="shared" si="8"/>
        <v>0</v>
      </c>
      <c r="E315" s="14">
        <f>IF(AnzahlZahlungen&lt;&gt;"",IF(Tabelle1[[#This Row],[Startsaldo]]&lt;Rate,Tabelle1[[#This Row],[Startsaldo]],Rate),"")</f>
        <v>0</v>
      </c>
      <c r="F315" s="19"/>
      <c r="G315" s="13">
        <f>Tabelle1[[#This Row],[Planmässige Zahlung ]]+Tabelle1[[#This Row],[Sonderzahlung]]</f>
        <v>0</v>
      </c>
      <c r="H315" s="14">
        <f>Tabelle1[[#This Row],[Zahlung gesamt]]-Tabelle1[[#This Row],[Zinsleistung]]</f>
        <v>0</v>
      </c>
      <c r="I315" s="14">
        <f>IF(AnzahlZahlungen&lt;&gt;"",Tabelle1[[#This Row],[Startsaldo]]*Zinssatz/12,"")</f>
        <v>0</v>
      </c>
      <c r="J315" s="13">
        <f>IF(AnzahlZahlungen&lt;&gt;0,Tabelle1[[#This Row],[Startsaldo]]-Tabelle1[[#This Row],[Zahlung gesamt]],"")</f>
        <v>0</v>
      </c>
      <c r="K315" s="14">
        <f>K314+Tabelle1[[#This Row],[Zinsleistung]]</f>
        <v>58389.377411997804</v>
      </c>
    </row>
    <row r="316" spans="2:11" x14ac:dyDescent="0.25">
      <c r="B316" s="11">
        <f t="shared" ref="B316:B379" si="10">B315+1</f>
        <v>301</v>
      </c>
      <c r="C316" s="12">
        <f>IF((Startdatum),EOMONTH(C315,1))</f>
        <v>52412</v>
      </c>
      <c r="D316" s="13">
        <f t="shared" si="8"/>
        <v>0</v>
      </c>
      <c r="E316" s="14">
        <f>IF(AnzahlZahlungen&lt;&gt;"",IF(Tabelle1[[#This Row],[Startsaldo]]&lt;Rate,Tabelle1[[#This Row],[Startsaldo]],Rate),"")</f>
        <v>0</v>
      </c>
      <c r="F316" s="19"/>
      <c r="G316" s="13">
        <f>Tabelle1[[#This Row],[Planmässige Zahlung ]]+Tabelle1[[#This Row],[Sonderzahlung]]</f>
        <v>0</v>
      </c>
      <c r="H316" s="14">
        <f>Tabelle1[[#This Row],[Zahlung gesamt]]-Tabelle1[[#This Row],[Zinsleistung]]</f>
        <v>0</v>
      </c>
      <c r="I316" s="14">
        <f>IF(AnzahlZahlungen&lt;&gt;"",Tabelle1[[#This Row],[Startsaldo]]*Zinssatz/12,"")</f>
        <v>0</v>
      </c>
      <c r="J316" s="13">
        <f>IF(AnzahlZahlungen&lt;&gt;0,Tabelle1[[#This Row],[Startsaldo]]-Tabelle1[[#This Row],[Zahlung gesamt]],"")</f>
        <v>0</v>
      </c>
      <c r="K316" s="14">
        <f>K315+Tabelle1[[#This Row],[Zinsleistung]]</f>
        <v>58389.377411997804</v>
      </c>
    </row>
    <row r="317" spans="2:11" x14ac:dyDescent="0.25">
      <c r="B317" s="11">
        <f t="shared" si="10"/>
        <v>302</v>
      </c>
      <c r="C317" s="12">
        <f>IF((Startdatum),EOMONTH(C316,1))</f>
        <v>52443</v>
      </c>
      <c r="D317" s="13">
        <f t="shared" si="8"/>
        <v>0</v>
      </c>
      <c r="E317" s="14">
        <f>IF(AnzahlZahlungen&lt;&gt;"",IF(Tabelle1[[#This Row],[Startsaldo]]&lt;Rate,Tabelle1[[#This Row],[Startsaldo]],Rate),"")</f>
        <v>0</v>
      </c>
      <c r="F317" s="19"/>
      <c r="G317" s="13">
        <f>Tabelle1[[#This Row],[Planmässige Zahlung ]]+Tabelle1[[#This Row],[Sonderzahlung]]</f>
        <v>0</v>
      </c>
      <c r="H317" s="14">
        <f>Tabelle1[[#This Row],[Zahlung gesamt]]-Tabelle1[[#This Row],[Zinsleistung]]</f>
        <v>0</v>
      </c>
      <c r="I317" s="14">
        <f>IF(AnzahlZahlungen&lt;&gt;"",Tabelle1[[#This Row],[Startsaldo]]*Zinssatz/12,"")</f>
        <v>0</v>
      </c>
      <c r="J317" s="13">
        <f>IF(AnzahlZahlungen&lt;&gt;0,Tabelle1[[#This Row],[Startsaldo]]-Tabelle1[[#This Row],[Zahlung gesamt]],"")</f>
        <v>0</v>
      </c>
      <c r="K317" s="14">
        <f>K316+Tabelle1[[#This Row],[Zinsleistung]]</f>
        <v>58389.377411997804</v>
      </c>
    </row>
    <row r="318" spans="2:11" x14ac:dyDescent="0.25">
      <c r="B318" s="11">
        <f t="shared" si="10"/>
        <v>303</v>
      </c>
      <c r="C318" s="12">
        <f>IF((Startdatum),EOMONTH(C317,1))</f>
        <v>52474</v>
      </c>
      <c r="D318" s="13">
        <f t="shared" si="8"/>
        <v>0</v>
      </c>
      <c r="E318" s="14">
        <f>IF(AnzahlZahlungen&lt;&gt;"",IF(Tabelle1[[#This Row],[Startsaldo]]&lt;Rate,Tabelle1[[#This Row],[Startsaldo]],Rate),"")</f>
        <v>0</v>
      </c>
      <c r="F318" s="19"/>
      <c r="G318" s="13">
        <f>Tabelle1[[#This Row],[Planmässige Zahlung ]]+Tabelle1[[#This Row],[Sonderzahlung]]</f>
        <v>0</v>
      </c>
      <c r="H318" s="14">
        <f>Tabelle1[[#This Row],[Zahlung gesamt]]-Tabelle1[[#This Row],[Zinsleistung]]</f>
        <v>0</v>
      </c>
      <c r="I318" s="14">
        <f>IF(AnzahlZahlungen&lt;&gt;"",Tabelle1[[#This Row],[Startsaldo]]*Zinssatz/12,"")</f>
        <v>0</v>
      </c>
      <c r="J318" s="13">
        <f>IF(AnzahlZahlungen&lt;&gt;0,Tabelle1[[#This Row],[Startsaldo]]-Tabelle1[[#This Row],[Zahlung gesamt]],"")</f>
        <v>0</v>
      </c>
      <c r="K318" s="14">
        <f>K317+Tabelle1[[#This Row],[Zinsleistung]]</f>
        <v>58389.377411997804</v>
      </c>
    </row>
    <row r="319" spans="2:11" x14ac:dyDescent="0.25">
      <c r="B319" s="11">
        <f t="shared" si="10"/>
        <v>304</v>
      </c>
      <c r="C319" s="12">
        <f>IF((Startdatum),EOMONTH(C318,1))</f>
        <v>52504</v>
      </c>
      <c r="D319" s="13">
        <f t="shared" si="8"/>
        <v>0</v>
      </c>
      <c r="E319" s="14">
        <f>IF(AnzahlZahlungen&lt;&gt;"",IF(Tabelle1[[#This Row],[Startsaldo]]&lt;Rate,Tabelle1[[#This Row],[Startsaldo]],Rate),"")</f>
        <v>0</v>
      </c>
      <c r="F319" s="19"/>
      <c r="G319" s="13">
        <f>Tabelle1[[#This Row],[Planmässige Zahlung ]]+Tabelle1[[#This Row],[Sonderzahlung]]</f>
        <v>0</v>
      </c>
      <c r="H319" s="14">
        <f>Tabelle1[[#This Row],[Zahlung gesamt]]-Tabelle1[[#This Row],[Zinsleistung]]</f>
        <v>0</v>
      </c>
      <c r="I319" s="14">
        <f>IF(AnzahlZahlungen&lt;&gt;"",Tabelle1[[#This Row],[Startsaldo]]*Zinssatz/12,"")</f>
        <v>0</v>
      </c>
      <c r="J319" s="13">
        <f>IF(AnzahlZahlungen&lt;&gt;0,Tabelle1[[#This Row],[Startsaldo]]-Tabelle1[[#This Row],[Zahlung gesamt]],"")</f>
        <v>0</v>
      </c>
      <c r="K319" s="14">
        <f>K318+Tabelle1[[#This Row],[Zinsleistung]]</f>
        <v>58389.377411997804</v>
      </c>
    </row>
    <row r="320" spans="2:11" x14ac:dyDescent="0.25">
      <c r="B320" s="11">
        <f t="shared" si="10"/>
        <v>305</v>
      </c>
      <c r="C320" s="12">
        <f>IF((Startdatum),EOMONTH(C319,1))</f>
        <v>52535</v>
      </c>
      <c r="D320" s="13">
        <f t="shared" si="8"/>
        <v>0</v>
      </c>
      <c r="E320" s="14">
        <f>IF(AnzahlZahlungen&lt;&gt;"",IF(Tabelle1[[#This Row],[Startsaldo]]&lt;Rate,Tabelle1[[#This Row],[Startsaldo]],Rate),"")</f>
        <v>0</v>
      </c>
      <c r="F320" s="19"/>
      <c r="G320" s="13">
        <f>Tabelle1[[#This Row],[Planmässige Zahlung ]]+Tabelle1[[#This Row],[Sonderzahlung]]</f>
        <v>0</v>
      </c>
      <c r="H320" s="14">
        <f>Tabelle1[[#This Row],[Zahlung gesamt]]-Tabelle1[[#This Row],[Zinsleistung]]</f>
        <v>0</v>
      </c>
      <c r="I320" s="14">
        <f>IF(AnzahlZahlungen&lt;&gt;"",Tabelle1[[#This Row],[Startsaldo]]*Zinssatz/12,"")</f>
        <v>0</v>
      </c>
      <c r="J320" s="13">
        <f>IF(AnzahlZahlungen&lt;&gt;0,Tabelle1[[#This Row],[Startsaldo]]-Tabelle1[[#This Row],[Zahlung gesamt]],"")</f>
        <v>0</v>
      </c>
      <c r="K320" s="14">
        <f>K319+Tabelle1[[#This Row],[Zinsleistung]]</f>
        <v>58389.377411997804</v>
      </c>
    </row>
    <row r="321" spans="2:11" x14ac:dyDescent="0.25">
      <c r="B321" s="11">
        <f t="shared" si="10"/>
        <v>306</v>
      </c>
      <c r="C321" s="12">
        <f>IF((Startdatum),EOMONTH(C320,1))</f>
        <v>52565</v>
      </c>
      <c r="D321" s="13">
        <f t="shared" si="8"/>
        <v>0</v>
      </c>
      <c r="E321" s="14">
        <f>IF(AnzahlZahlungen&lt;&gt;"",IF(Tabelle1[[#This Row],[Startsaldo]]&lt;Rate,Tabelle1[[#This Row],[Startsaldo]],Rate),"")</f>
        <v>0</v>
      </c>
      <c r="F321" s="19"/>
      <c r="G321" s="13">
        <f>Tabelle1[[#This Row],[Planmässige Zahlung ]]+Tabelle1[[#This Row],[Sonderzahlung]]</f>
        <v>0</v>
      </c>
      <c r="H321" s="14">
        <f>Tabelle1[[#This Row],[Zahlung gesamt]]-Tabelle1[[#This Row],[Zinsleistung]]</f>
        <v>0</v>
      </c>
      <c r="I321" s="14">
        <f>IF(AnzahlZahlungen&lt;&gt;"",Tabelle1[[#This Row],[Startsaldo]]*Zinssatz/12,"")</f>
        <v>0</v>
      </c>
      <c r="J321" s="13">
        <f>IF(AnzahlZahlungen&lt;&gt;0,Tabelle1[[#This Row],[Startsaldo]]-Tabelle1[[#This Row],[Zahlung gesamt]],"")</f>
        <v>0</v>
      </c>
      <c r="K321" s="14">
        <f>K320+Tabelle1[[#This Row],[Zinsleistung]]</f>
        <v>58389.377411997804</v>
      </c>
    </row>
    <row r="322" spans="2:11" x14ac:dyDescent="0.25">
      <c r="B322" s="11">
        <f t="shared" si="10"/>
        <v>307</v>
      </c>
      <c r="C322" s="12">
        <f>IF((Startdatum),EOMONTH(C321,1))</f>
        <v>52596</v>
      </c>
      <c r="D322" s="13">
        <f t="shared" si="8"/>
        <v>0</v>
      </c>
      <c r="E322" s="14">
        <f>IF(AnzahlZahlungen&lt;&gt;"",IF(Tabelle1[[#This Row],[Startsaldo]]&lt;Rate,Tabelle1[[#This Row],[Startsaldo]],Rate),"")</f>
        <v>0</v>
      </c>
      <c r="F322" s="19"/>
      <c r="G322" s="13">
        <f>Tabelle1[[#This Row],[Planmässige Zahlung ]]+Tabelle1[[#This Row],[Sonderzahlung]]</f>
        <v>0</v>
      </c>
      <c r="H322" s="14">
        <f>Tabelle1[[#This Row],[Zahlung gesamt]]-Tabelle1[[#This Row],[Zinsleistung]]</f>
        <v>0</v>
      </c>
      <c r="I322" s="14">
        <f>IF(AnzahlZahlungen&lt;&gt;"",Tabelle1[[#This Row],[Startsaldo]]*Zinssatz/12,"")</f>
        <v>0</v>
      </c>
      <c r="J322" s="13">
        <f>IF(AnzahlZahlungen&lt;&gt;0,Tabelle1[[#This Row],[Startsaldo]]-Tabelle1[[#This Row],[Zahlung gesamt]],"")</f>
        <v>0</v>
      </c>
      <c r="K322" s="14">
        <f>K321+Tabelle1[[#This Row],[Zinsleistung]]</f>
        <v>58389.377411997804</v>
      </c>
    </row>
    <row r="323" spans="2:11" x14ac:dyDescent="0.25">
      <c r="B323" s="11">
        <f t="shared" si="10"/>
        <v>308</v>
      </c>
      <c r="C323" s="12">
        <f>IF((Startdatum),EOMONTH(C322,1))</f>
        <v>52627</v>
      </c>
      <c r="D323" s="13">
        <f t="shared" si="8"/>
        <v>0</v>
      </c>
      <c r="E323" s="14">
        <f>IF(AnzahlZahlungen&lt;&gt;"",IF(Tabelle1[[#This Row],[Startsaldo]]&lt;Rate,Tabelle1[[#This Row],[Startsaldo]],Rate),"")</f>
        <v>0</v>
      </c>
      <c r="F323" s="19"/>
      <c r="G323" s="13">
        <f>Tabelle1[[#This Row],[Planmässige Zahlung ]]+Tabelle1[[#This Row],[Sonderzahlung]]</f>
        <v>0</v>
      </c>
      <c r="H323" s="14">
        <f>Tabelle1[[#This Row],[Zahlung gesamt]]-Tabelle1[[#This Row],[Zinsleistung]]</f>
        <v>0</v>
      </c>
      <c r="I323" s="14">
        <f>IF(AnzahlZahlungen&lt;&gt;"",Tabelle1[[#This Row],[Startsaldo]]*Zinssatz/12,"")</f>
        <v>0</v>
      </c>
      <c r="J323" s="13">
        <f>IF(AnzahlZahlungen&lt;&gt;0,Tabelle1[[#This Row],[Startsaldo]]-Tabelle1[[#This Row],[Zahlung gesamt]],"")</f>
        <v>0</v>
      </c>
      <c r="K323" s="14">
        <f>K322+Tabelle1[[#This Row],[Zinsleistung]]</f>
        <v>58389.377411997804</v>
      </c>
    </row>
    <row r="324" spans="2:11" x14ac:dyDescent="0.25">
      <c r="B324" s="11">
        <f t="shared" si="10"/>
        <v>309</v>
      </c>
      <c r="C324" s="12">
        <f>IF((Startdatum),EOMONTH(C323,1))</f>
        <v>52656</v>
      </c>
      <c r="D324" s="13">
        <f t="shared" si="8"/>
        <v>0</v>
      </c>
      <c r="E324" s="14">
        <f>IF(AnzahlZahlungen&lt;&gt;"",IF(Tabelle1[[#This Row],[Startsaldo]]&lt;Rate,Tabelle1[[#This Row],[Startsaldo]],Rate),"")</f>
        <v>0</v>
      </c>
      <c r="F324" s="19"/>
      <c r="G324" s="13">
        <f>Tabelle1[[#This Row],[Planmässige Zahlung ]]+Tabelle1[[#This Row],[Sonderzahlung]]</f>
        <v>0</v>
      </c>
      <c r="H324" s="14">
        <f>Tabelle1[[#This Row],[Zahlung gesamt]]-Tabelle1[[#This Row],[Zinsleistung]]</f>
        <v>0</v>
      </c>
      <c r="I324" s="14">
        <f>IF(AnzahlZahlungen&lt;&gt;"",Tabelle1[[#This Row],[Startsaldo]]*Zinssatz/12,"")</f>
        <v>0</v>
      </c>
      <c r="J324" s="13">
        <f>IF(AnzahlZahlungen&lt;&gt;0,Tabelle1[[#This Row],[Startsaldo]]-Tabelle1[[#This Row],[Zahlung gesamt]],"")</f>
        <v>0</v>
      </c>
      <c r="K324" s="14">
        <f>K323+Tabelle1[[#This Row],[Zinsleistung]]</f>
        <v>58389.377411997804</v>
      </c>
    </row>
    <row r="325" spans="2:11" x14ac:dyDescent="0.25">
      <c r="B325" s="11">
        <f t="shared" si="10"/>
        <v>310</v>
      </c>
      <c r="C325" s="12">
        <f>IF((Startdatum),EOMONTH(C324,1))</f>
        <v>52687</v>
      </c>
      <c r="D325" s="13">
        <f t="shared" si="8"/>
        <v>0</v>
      </c>
      <c r="E325" s="14">
        <f>IF(AnzahlZahlungen&lt;&gt;"",IF(Tabelle1[[#This Row],[Startsaldo]]&lt;Rate,Tabelle1[[#This Row],[Startsaldo]],Rate),"")</f>
        <v>0</v>
      </c>
      <c r="F325" s="19"/>
      <c r="G325" s="13">
        <f>Tabelle1[[#This Row],[Planmässige Zahlung ]]+Tabelle1[[#This Row],[Sonderzahlung]]</f>
        <v>0</v>
      </c>
      <c r="H325" s="14">
        <f>Tabelle1[[#This Row],[Zahlung gesamt]]-Tabelle1[[#This Row],[Zinsleistung]]</f>
        <v>0</v>
      </c>
      <c r="I325" s="14">
        <f>IF(AnzahlZahlungen&lt;&gt;"",Tabelle1[[#This Row],[Startsaldo]]*Zinssatz/12,"")</f>
        <v>0</v>
      </c>
      <c r="J325" s="13">
        <f>IF(AnzahlZahlungen&lt;&gt;0,Tabelle1[[#This Row],[Startsaldo]]-Tabelle1[[#This Row],[Zahlung gesamt]],"")</f>
        <v>0</v>
      </c>
      <c r="K325" s="14">
        <f>K324+Tabelle1[[#This Row],[Zinsleistung]]</f>
        <v>58389.377411997804</v>
      </c>
    </row>
    <row r="326" spans="2:11" x14ac:dyDescent="0.25">
      <c r="B326" s="11">
        <f t="shared" si="10"/>
        <v>311</v>
      </c>
      <c r="C326" s="12">
        <f>IF((Startdatum),EOMONTH(C325,1))</f>
        <v>52717</v>
      </c>
      <c r="D326" s="13">
        <f t="shared" si="8"/>
        <v>0</v>
      </c>
      <c r="E326" s="14">
        <f>IF(AnzahlZahlungen&lt;&gt;"",IF(Tabelle1[[#This Row],[Startsaldo]]&lt;Rate,Tabelle1[[#This Row],[Startsaldo]],Rate),"")</f>
        <v>0</v>
      </c>
      <c r="F326" s="19"/>
      <c r="G326" s="13">
        <f>Tabelle1[[#This Row],[Planmässige Zahlung ]]+Tabelle1[[#This Row],[Sonderzahlung]]</f>
        <v>0</v>
      </c>
      <c r="H326" s="14">
        <f>Tabelle1[[#This Row],[Zahlung gesamt]]-Tabelle1[[#This Row],[Zinsleistung]]</f>
        <v>0</v>
      </c>
      <c r="I326" s="14">
        <f>IF(AnzahlZahlungen&lt;&gt;"",Tabelle1[[#This Row],[Startsaldo]]*Zinssatz/12,"")</f>
        <v>0</v>
      </c>
      <c r="J326" s="13">
        <f>IF(AnzahlZahlungen&lt;&gt;0,Tabelle1[[#This Row],[Startsaldo]]-Tabelle1[[#This Row],[Zahlung gesamt]],"")</f>
        <v>0</v>
      </c>
      <c r="K326" s="14">
        <f>K325+Tabelle1[[#This Row],[Zinsleistung]]</f>
        <v>58389.377411997804</v>
      </c>
    </row>
    <row r="327" spans="2:11" x14ac:dyDescent="0.25">
      <c r="B327" s="11">
        <f t="shared" si="10"/>
        <v>312</v>
      </c>
      <c r="C327" s="12">
        <f>IF((Startdatum),EOMONTH(C326,1))</f>
        <v>52748</v>
      </c>
      <c r="D327" s="13">
        <f t="shared" si="8"/>
        <v>0</v>
      </c>
      <c r="E327" s="14">
        <f>IF(AnzahlZahlungen&lt;&gt;"",IF(Tabelle1[[#This Row],[Startsaldo]]&lt;Rate,Tabelle1[[#This Row],[Startsaldo]],Rate),"")</f>
        <v>0</v>
      </c>
      <c r="F327" s="19"/>
      <c r="G327" s="13">
        <f>Tabelle1[[#This Row],[Planmässige Zahlung ]]+Tabelle1[[#This Row],[Sonderzahlung]]</f>
        <v>0</v>
      </c>
      <c r="H327" s="14">
        <f>Tabelle1[[#This Row],[Zahlung gesamt]]-Tabelle1[[#This Row],[Zinsleistung]]</f>
        <v>0</v>
      </c>
      <c r="I327" s="14">
        <f>IF(AnzahlZahlungen&lt;&gt;"",Tabelle1[[#This Row],[Startsaldo]]*Zinssatz/12,"")</f>
        <v>0</v>
      </c>
      <c r="J327" s="13">
        <f>IF(AnzahlZahlungen&lt;&gt;0,Tabelle1[[#This Row],[Startsaldo]]-Tabelle1[[#This Row],[Zahlung gesamt]],"")</f>
        <v>0</v>
      </c>
      <c r="K327" s="14">
        <f>K326+Tabelle1[[#This Row],[Zinsleistung]]</f>
        <v>58389.377411997804</v>
      </c>
    </row>
    <row r="328" spans="2:11" x14ac:dyDescent="0.25">
      <c r="B328" s="11">
        <f t="shared" si="10"/>
        <v>313</v>
      </c>
      <c r="C328" s="12">
        <f>IF((Startdatum),EOMONTH(C327,1))</f>
        <v>52778</v>
      </c>
      <c r="D328" s="13">
        <f t="shared" si="8"/>
        <v>0</v>
      </c>
      <c r="E328" s="14">
        <f>IF(AnzahlZahlungen&lt;&gt;"",IF(Tabelle1[[#This Row],[Startsaldo]]&lt;Rate,Tabelle1[[#This Row],[Startsaldo]],Rate),"")</f>
        <v>0</v>
      </c>
      <c r="F328" s="19"/>
      <c r="G328" s="13">
        <f>Tabelle1[[#This Row],[Planmässige Zahlung ]]+Tabelle1[[#This Row],[Sonderzahlung]]</f>
        <v>0</v>
      </c>
      <c r="H328" s="14">
        <f>Tabelle1[[#This Row],[Zahlung gesamt]]-Tabelle1[[#This Row],[Zinsleistung]]</f>
        <v>0</v>
      </c>
      <c r="I328" s="14">
        <f>IF(AnzahlZahlungen&lt;&gt;"",Tabelle1[[#This Row],[Startsaldo]]*Zinssatz/12,"")</f>
        <v>0</v>
      </c>
      <c r="J328" s="13">
        <f>IF(AnzahlZahlungen&lt;&gt;0,Tabelle1[[#This Row],[Startsaldo]]-Tabelle1[[#This Row],[Zahlung gesamt]],"")</f>
        <v>0</v>
      </c>
      <c r="K328" s="14">
        <f>K327+Tabelle1[[#This Row],[Zinsleistung]]</f>
        <v>58389.377411997804</v>
      </c>
    </row>
    <row r="329" spans="2:11" x14ac:dyDescent="0.25">
      <c r="B329" s="11">
        <f t="shared" si="10"/>
        <v>314</v>
      </c>
      <c r="C329" s="12">
        <f>IF(1,Startdatum,"")</f>
        <v>43281</v>
      </c>
      <c r="D329" s="13">
        <f t="shared" si="8"/>
        <v>0</v>
      </c>
      <c r="E329" s="14">
        <f>IF(AnzahlZahlungen&lt;&gt;"",IF(Tabelle1[[#This Row],[Startsaldo]]&lt;Rate,Tabelle1[[#This Row],[Startsaldo]],Rate),"")</f>
        <v>0</v>
      </c>
      <c r="F329" s="19"/>
      <c r="G329" s="13">
        <f>Tabelle1[[#This Row],[Planmässige Zahlung ]]+Tabelle1[[#This Row],[Sonderzahlung]]</f>
        <v>0</v>
      </c>
      <c r="H329" s="14">
        <f>Tabelle1[[#This Row],[Zahlung gesamt]]-Tabelle1[[#This Row],[Zinsleistung]]</f>
        <v>0</v>
      </c>
      <c r="I329" s="14">
        <f>IF(AnzahlZahlungen&lt;&gt;"",Tabelle1[[#This Row],[Startsaldo]]*Zinssatz/12,"")</f>
        <v>0</v>
      </c>
      <c r="J329" s="13">
        <f>IF(AnzahlZahlungen&lt;&gt;0,Tabelle1[[#This Row],[Startsaldo]]-Tabelle1[[#This Row],[Zahlung gesamt]],"")</f>
        <v>0</v>
      </c>
      <c r="K329" s="14">
        <f>K328+Tabelle1[[#This Row],[Zinsleistung]]</f>
        <v>58389.377411997804</v>
      </c>
    </row>
    <row r="330" spans="2:11" x14ac:dyDescent="0.25">
      <c r="B330" s="11">
        <f t="shared" si="10"/>
        <v>315</v>
      </c>
      <c r="C330" s="12">
        <f>IF(1,Startdatum,"")</f>
        <v>43281</v>
      </c>
      <c r="D330" s="13">
        <f t="shared" si="8"/>
        <v>0</v>
      </c>
      <c r="E330" s="14">
        <f>IF(AnzahlZahlungen&lt;&gt;"",IF(Tabelle1[[#This Row],[Startsaldo]]&lt;Rate,Tabelle1[[#This Row],[Startsaldo]],Rate),"")</f>
        <v>0</v>
      </c>
      <c r="F330" s="19"/>
      <c r="G330" s="13">
        <f>Tabelle1[[#This Row],[Planmässige Zahlung ]]+Tabelle1[[#This Row],[Sonderzahlung]]</f>
        <v>0</v>
      </c>
      <c r="H330" s="14">
        <f>Tabelle1[[#This Row],[Zahlung gesamt]]-Tabelle1[[#This Row],[Zinsleistung]]</f>
        <v>0</v>
      </c>
      <c r="I330" s="14">
        <f>IF(AnzahlZahlungen&lt;&gt;"",Tabelle1[[#This Row],[Startsaldo]]*Zinssatz/12,"")</f>
        <v>0</v>
      </c>
      <c r="J330" s="13">
        <f>IF(AnzahlZahlungen&lt;&gt;0,Tabelle1[[#This Row],[Startsaldo]]-Tabelle1[[#This Row],[Zahlung gesamt]],"")</f>
        <v>0</v>
      </c>
      <c r="K330" s="14">
        <f>K329+Tabelle1[[#This Row],[Zinsleistung]]</f>
        <v>58389.377411997804</v>
      </c>
    </row>
    <row r="331" spans="2:11" x14ac:dyDescent="0.25">
      <c r="B331" s="11">
        <f t="shared" si="10"/>
        <v>316</v>
      </c>
      <c r="C331" s="12">
        <f>IF(1,Startdatum,"")</f>
        <v>43281</v>
      </c>
      <c r="D331" s="13">
        <f t="shared" si="8"/>
        <v>0</v>
      </c>
      <c r="E331" s="14">
        <f>IF(AnzahlZahlungen&lt;&gt;"",IF(Tabelle1[[#This Row],[Startsaldo]]&lt;Rate,Tabelle1[[#This Row],[Startsaldo]],Rate),"")</f>
        <v>0</v>
      </c>
      <c r="F331" s="19"/>
      <c r="G331" s="13">
        <f>Tabelle1[[#This Row],[Planmässige Zahlung ]]+Tabelle1[[#This Row],[Sonderzahlung]]</f>
        <v>0</v>
      </c>
      <c r="H331" s="14">
        <f>Tabelle1[[#This Row],[Zahlung gesamt]]-Tabelle1[[#This Row],[Zinsleistung]]</f>
        <v>0</v>
      </c>
      <c r="I331" s="14">
        <f>IF(AnzahlZahlungen&lt;&gt;"",Tabelle1[[#This Row],[Startsaldo]]*Zinssatz/12,"")</f>
        <v>0</v>
      </c>
      <c r="J331" s="13">
        <f>IF(AnzahlZahlungen&lt;&gt;0,Tabelle1[[#This Row],[Startsaldo]]-Tabelle1[[#This Row],[Zahlung gesamt]],"")</f>
        <v>0</v>
      </c>
      <c r="K331" s="14">
        <f>K330+Tabelle1[[#This Row],[Zinsleistung]]</f>
        <v>58389.377411997804</v>
      </c>
    </row>
    <row r="332" spans="2:11" x14ac:dyDescent="0.25">
      <c r="B332" s="11">
        <f t="shared" si="10"/>
        <v>317</v>
      </c>
      <c r="C332" s="12">
        <f>IF(1,Startdatum,"")</f>
        <v>43281</v>
      </c>
      <c r="D332" s="13">
        <f t="shared" si="8"/>
        <v>0</v>
      </c>
      <c r="E332" s="14">
        <f>IF(AnzahlZahlungen&lt;&gt;"",IF(Tabelle1[[#This Row],[Startsaldo]]&lt;Rate,Tabelle1[[#This Row],[Startsaldo]],Rate),"")</f>
        <v>0</v>
      </c>
      <c r="F332" s="19"/>
      <c r="G332" s="13">
        <f>Tabelle1[[#This Row],[Planmässige Zahlung ]]+Tabelle1[[#This Row],[Sonderzahlung]]</f>
        <v>0</v>
      </c>
      <c r="H332" s="14">
        <f>Tabelle1[[#This Row],[Zahlung gesamt]]-Tabelle1[[#This Row],[Zinsleistung]]</f>
        <v>0</v>
      </c>
      <c r="I332" s="14">
        <f>IF(AnzahlZahlungen&lt;&gt;"",Tabelle1[[#This Row],[Startsaldo]]*Zinssatz/12,"")</f>
        <v>0</v>
      </c>
      <c r="J332" s="13">
        <f>IF(AnzahlZahlungen&lt;&gt;0,Tabelle1[[#This Row],[Startsaldo]]-Tabelle1[[#This Row],[Zahlung gesamt]],"")</f>
        <v>0</v>
      </c>
      <c r="K332" s="14">
        <f>K331+Tabelle1[[#This Row],[Zinsleistung]]</f>
        <v>58389.377411997804</v>
      </c>
    </row>
    <row r="333" spans="2:11" x14ac:dyDescent="0.25">
      <c r="B333" s="11">
        <f t="shared" si="10"/>
        <v>318</v>
      </c>
      <c r="C333" s="12">
        <f>IF(1,Startdatum,"")</f>
        <v>43281</v>
      </c>
      <c r="D333" s="13">
        <f t="shared" si="8"/>
        <v>0</v>
      </c>
      <c r="E333" s="14">
        <f>IF(AnzahlZahlungen&lt;&gt;"",IF(Tabelle1[[#This Row],[Startsaldo]]&lt;Rate,Tabelle1[[#This Row],[Startsaldo]],Rate),"")</f>
        <v>0</v>
      </c>
      <c r="F333" s="19"/>
      <c r="G333" s="13">
        <f>Tabelle1[[#This Row],[Planmässige Zahlung ]]+Tabelle1[[#This Row],[Sonderzahlung]]</f>
        <v>0</v>
      </c>
      <c r="H333" s="14">
        <f>Tabelle1[[#This Row],[Zahlung gesamt]]-Tabelle1[[#This Row],[Zinsleistung]]</f>
        <v>0</v>
      </c>
      <c r="I333" s="14">
        <f>IF(AnzahlZahlungen&lt;&gt;"",Tabelle1[[#This Row],[Startsaldo]]*Zinssatz/12,"")</f>
        <v>0</v>
      </c>
      <c r="J333" s="13">
        <f>IF(AnzahlZahlungen&lt;&gt;0,Tabelle1[[#This Row],[Startsaldo]]-Tabelle1[[#This Row],[Zahlung gesamt]],"")</f>
        <v>0</v>
      </c>
      <c r="K333" s="14">
        <f>K332+Tabelle1[[#This Row],[Zinsleistung]]</f>
        <v>58389.377411997804</v>
      </c>
    </row>
    <row r="334" spans="2:11" x14ac:dyDescent="0.25">
      <c r="B334" s="11">
        <f t="shared" si="10"/>
        <v>319</v>
      </c>
      <c r="C334" s="12">
        <f>IF(1,Startdatum,"")</f>
        <v>43281</v>
      </c>
      <c r="D334" s="13">
        <f t="shared" si="8"/>
        <v>0</v>
      </c>
      <c r="E334" s="14">
        <f>IF(AnzahlZahlungen&lt;&gt;"",IF(Tabelle1[[#This Row],[Startsaldo]]&lt;Rate,Tabelle1[[#This Row],[Startsaldo]],Rate),"")</f>
        <v>0</v>
      </c>
      <c r="F334" s="19"/>
      <c r="G334" s="13">
        <f>Tabelle1[[#This Row],[Planmässige Zahlung ]]+Tabelle1[[#This Row],[Sonderzahlung]]</f>
        <v>0</v>
      </c>
      <c r="H334" s="14">
        <f>Tabelle1[[#This Row],[Zahlung gesamt]]-Tabelle1[[#This Row],[Zinsleistung]]</f>
        <v>0</v>
      </c>
      <c r="I334" s="14">
        <f>IF(AnzahlZahlungen&lt;&gt;"",Tabelle1[[#This Row],[Startsaldo]]*Zinssatz/12,"")</f>
        <v>0</v>
      </c>
      <c r="J334" s="13">
        <f>IF(AnzahlZahlungen&lt;&gt;0,Tabelle1[[#This Row],[Startsaldo]]-Tabelle1[[#This Row],[Zahlung gesamt]],"")</f>
        <v>0</v>
      </c>
      <c r="K334" s="14">
        <f>K333+Tabelle1[[#This Row],[Zinsleistung]]</f>
        <v>58389.377411997804</v>
      </c>
    </row>
    <row r="335" spans="2:11" x14ac:dyDescent="0.25">
      <c r="B335" s="11">
        <f t="shared" si="10"/>
        <v>320</v>
      </c>
      <c r="C335" s="12">
        <f>IF(1,Startdatum,"")</f>
        <v>43281</v>
      </c>
      <c r="D335" s="13">
        <f t="shared" si="8"/>
        <v>0</v>
      </c>
      <c r="E335" s="14">
        <f>IF(AnzahlZahlungen&lt;&gt;"",IF(Tabelle1[[#This Row],[Startsaldo]]&lt;Rate,Tabelle1[[#This Row],[Startsaldo]],Rate),"")</f>
        <v>0</v>
      </c>
      <c r="F335" s="19"/>
      <c r="G335" s="13">
        <f>Tabelle1[[#This Row],[Planmässige Zahlung ]]+Tabelle1[[#This Row],[Sonderzahlung]]</f>
        <v>0</v>
      </c>
      <c r="H335" s="14">
        <f>Tabelle1[[#This Row],[Zahlung gesamt]]-Tabelle1[[#This Row],[Zinsleistung]]</f>
        <v>0</v>
      </c>
      <c r="I335" s="14">
        <f>IF(AnzahlZahlungen&lt;&gt;"",Tabelle1[[#This Row],[Startsaldo]]*Zinssatz/12,"")</f>
        <v>0</v>
      </c>
      <c r="J335" s="13">
        <f>IF(AnzahlZahlungen&lt;&gt;0,Tabelle1[[#This Row],[Startsaldo]]-Tabelle1[[#This Row],[Zahlung gesamt]],"")</f>
        <v>0</v>
      </c>
      <c r="K335" s="14">
        <f>K334+Tabelle1[[#This Row],[Zinsleistung]]</f>
        <v>58389.377411997804</v>
      </c>
    </row>
    <row r="336" spans="2:11" x14ac:dyDescent="0.25">
      <c r="B336" s="11">
        <f t="shared" si="10"/>
        <v>321</v>
      </c>
      <c r="C336" s="12">
        <f>IF(1,Startdatum,"")</f>
        <v>43281</v>
      </c>
      <c r="D336" s="13">
        <f t="shared" si="8"/>
        <v>0</v>
      </c>
      <c r="E336" s="14">
        <f>IF(AnzahlZahlungen&lt;&gt;"",IF(Tabelle1[[#This Row],[Startsaldo]]&lt;Rate,Tabelle1[[#This Row],[Startsaldo]],Rate),"")</f>
        <v>0</v>
      </c>
      <c r="F336" s="19"/>
      <c r="G336" s="13">
        <f>Tabelle1[[#This Row],[Planmässige Zahlung ]]+Tabelle1[[#This Row],[Sonderzahlung]]</f>
        <v>0</v>
      </c>
      <c r="H336" s="14">
        <f>Tabelle1[[#This Row],[Zahlung gesamt]]-Tabelle1[[#This Row],[Zinsleistung]]</f>
        <v>0</v>
      </c>
      <c r="I336" s="14">
        <f>IF(AnzahlZahlungen&lt;&gt;"",Tabelle1[[#This Row],[Startsaldo]]*Zinssatz/12,"")</f>
        <v>0</v>
      </c>
      <c r="J336" s="13">
        <f>IF(AnzahlZahlungen&lt;&gt;0,Tabelle1[[#This Row],[Startsaldo]]-Tabelle1[[#This Row],[Zahlung gesamt]],"")</f>
        <v>0</v>
      </c>
      <c r="K336" s="14">
        <f>K335+Tabelle1[[#This Row],[Zinsleistung]]</f>
        <v>58389.377411997804</v>
      </c>
    </row>
    <row r="337" spans="2:11" x14ac:dyDescent="0.25">
      <c r="B337" s="11">
        <f t="shared" si="10"/>
        <v>322</v>
      </c>
      <c r="C337" s="12">
        <f>IF(1,Startdatum,"")</f>
        <v>43281</v>
      </c>
      <c r="D337" s="13">
        <f t="shared" ref="D337:D400" si="11">IF(D336&lt;=Rate,0,D336-H336)</f>
        <v>0</v>
      </c>
      <c r="E337" s="14">
        <f>IF(AnzahlZahlungen&lt;&gt;"",IF(Tabelle1[[#This Row],[Startsaldo]]&lt;Rate,Tabelle1[[#This Row],[Startsaldo]],Rate),"")</f>
        <v>0</v>
      </c>
      <c r="F337" s="19"/>
      <c r="G337" s="13">
        <f>Tabelle1[[#This Row],[Planmässige Zahlung ]]+Tabelle1[[#This Row],[Sonderzahlung]]</f>
        <v>0</v>
      </c>
      <c r="H337" s="14">
        <f>Tabelle1[[#This Row],[Zahlung gesamt]]-Tabelle1[[#This Row],[Zinsleistung]]</f>
        <v>0</v>
      </c>
      <c r="I337" s="14">
        <f>IF(AnzahlZahlungen&lt;&gt;"",Tabelle1[[#This Row],[Startsaldo]]*Zinssatz/12,"")</f>
        <v>0</v>
      </c>
      <c r="J337" s="13">
        <f>IF(AnzahlZahlungen&lt;&gt;0,Tabelle1[[#This Row],[Startsaldo]]-Tabelle1[[#This Row],[Zahlung gesamt]],"")</f>
        <v>0</v>
      </c>
      <c r="K337" s="14">
        <f>K336+Tabelle1[[#This Row],[Zinsleistung]]</f>
        <v>58389.377411997804</v>
      </c>
    </row>
    <row r="338" spans="2:11" x14ac:dyDescent="0.25">
      <c r="B338" s="11">
        <f t="shared" si="10"/>
        <v>323</v>
      </c>
      <c r="C338" s="12">
        <f>IF(1,Startdatum,"")</f>
        <v>43281</v>
      </c>
      <c r="D338" s="13">
        <f t="shared" si="11"/>
        <v>0</v>
      </c>
      <c r="E338" s="14">
        <f>IF(AnzahlZahlungen&lt;&gt;"",IF(Tabelle1[[#This Row],[Startsaldo]]&lt;Rate,Tabelle1[[#This Row],[Startsaldo]],Rate),"")</f>
        <v>0</v>
      </c>
      <c r="F338" s="19"/>
      <c r="G338" s="13">
        <f>Tabelle1[[#This Row],[Planmässige Zahlung ]]+Tabelle1[[#This Row],[Sonderzahlung]]</f>
        <v>0</v>
      </c>
      <c r="H338" s="14">
        <f>Tabelle1[[#This Row],[Zahlung gesamt]]-Tabelle1[[#This Row],[Zinsleistung]]</f>
        <v>0</v>
      </c>
      <c r="I338" s="14">
        <f>IF(AnzahlZahlungen&lt;&gt;"",Tabelle1[[#This Row],[Startsaldo]]*Zinssatz/12,"")</f>
        <v>0</v>
      </c>
      <c r="J338" s="13">
        <f>IF(AnzahlZahlungen&lt;&gt;0,Tabelle1[[#This Row],[Startsaldo]]-Tabelle1[[#This Row],[Zahlung gesamt]],"")</f>
        <v>0</v>
      </c>
      <c r="K338" s="14">
        <f>K337+Tabelle1[[#This Row],[Zinsleistung]]</f>
        <v>58389.377411997804</v>
      </c>
    </row>
    <row r="339" spans="2:11" x14ac:dyDescent="0.25">
      <c r="B339" s="11">
        <f t="shared" si="10"/>
        <v>324</v>
      </c>
      <c r="C339" s="12">
        <f>IF(1,Startdatum,"")</f>
        <v>43281</v>
      </c>
      <c r="D339" s="13">
        <f t="shared" si="11"/>
        <v>0</v>
      </c>
      <c r="E339" s="14">
        <f>IF(AnzahlZahlungen&lt;&gt;"",IF(Tabelle1[[#This Row],[Startsaldo]]&lt;Rate,Tabelle1[[#This Row],[Startsaldo]],Rate),"")</f>
        <v>0</v>
      </c>
      <c r="F339" s="19"/>
      <c r="G339" s="13">
        <f>Tabelle1[[#This Row],[Planmässige Zahlung ]]+Tabelle1[[#This Row],[Sonderzahlung]]</f>
        <v>0</v>
      </c>
      <c r="H339" s="14">
        <f>Tabelle1[[#This Row],[Zahlung gesamt]]-Tabelle1[[#This Row],[Zinsleistung]]</f>
        <v>0</v>
      </c>
      <c r="I339" s="14">
        <f>IF(AnzahlZahlungen&lt;&gt;"",Tabelle1[[#This Row],[Startsaldo]]*Zinssatz/12,"")</f>
        <v>0</v>
      </c>
      <c r="J339" s="13">
        <f>IF(AnzahlZahlungen&lt;&gt;0,Tabelle1[[#This Row],[Startsaldo]]-Tabelle1[[#This Row],[Zahlung gesamt]],"")</f>
        <v>0</v>
      </c>
      <c r="K339" s="14">
        <f>K338+Tabelle1[[#This Row],[Zinsleistung]]</f>
        <v>58389.377411997804</v>
      </c>
    </row>
    <row r="340" spans="2:11" x14ac:dyDescent="0.25">
      <c r="B340" s="11">
        <f t="shared" si="10"/>
        <v>325</v>
      </c>
      <c r="C340" s="12">
        <f>IF(1,Startdatum,"")</f>
        <v>43281</v>
      </c>
      <c r="D340" s="13">
        <f t="shared" si="11"/>
        <v>0</v>
      </c>
      <c r="E340" s="14">
        <f>IF(AnzahlZahlungen&lt;&gt;"",IF(Tabelle1[[#This Row],[Startsaldo]]&lt;Rate,Tabelle1[[#This Row],[Startsaldo]],Rate),"")</f>
        <v>0</v>
      </c>
      <c r="F340" s="19"/>
      <c r="G340" s="13">
        <f>Tabelle1[[#This Row],[Planmässige Zahlung ]]+Tabelle1[[#This Row],[Sonderzahlung]]</f>
        <v>0</v>
      </c>
      <c r="H340" s="14">
        <f>Tabelle1[[#This Row],[Zahlung gesamt]]-Tabelle1[[#This Row],[Zinsleistung]]</f>
        <v>0</v>
      </c>
      <c r="I340" s="14">
        <f>IF(AnzahlZahlungen&lt;&gt;"",Tabelle1[[#This Row],[Startsaldo]]*Zinssatz/12,"")</f>
        <v>0</v>
      </c>
      <c r="J340" s="13">
        <f>IF(AnzahlZahlungen&lt;&gt;0,Tabelle1[[#This Row],[Startsaldo]]-Tabelle1[[#This Row],[Zahlung gesamt]],"")</f>
        <v>0</v>
      </c>
      <c r="K340" s="14">
        <f>K339+Tabelle1[[#This Row],[Zinsleistung]]</f>
        <v>58389.377411997804</v>
      </c>
    </row>
    <row r="341" spans="2:11" x14ac:dyDescent="0.25">
      <c r="B341" s="11">
        <f t="shared" si="10"/>
        <v>326</v>
      </c>
      <c r="C341" s="12">
        <f>IF(1,Startdatum,"")</f>
        <v>43281</v>
      </c>
      <c r="D341" s="13">
        <f t="shared" si="11"/>
        <v>0</v>
      </c>
      <c r="E341" s="14">
        <f>IF(AnzahlZahlungen&lt;&gt;"",IF(Tabelle1[[#This Row],[Startsaldo]]&lt;Rate,Tabelle1[[#This Row],[Startsaldo]],Rate),"")</f>
        <v>0</v>
      </c>
      <c r="F341" s="19"/>
      <c r="G341" s="13">
        <f>Tabelle1[[#This Row],[Planmässige Zahlung ]]+Tabelle1[[#This Row],[Sonderzahlung]]</f>
        <v>0</v>
      </c>
      <c r="H341" s="14">
        <f>Tabelle1[[#This Row],[Zahlung gesamt]]-Tabelle1[[#This Row],[Zinsleistung]]</f>
        <v>0</v>
      </c>
      <c r="I341" s="14">
        <f>IF(AnzahlZahlungen&lt;&gt;"",Tabelle1[[#This Row],[Startsaldo]]*Zinssatz/12,"")</f>
        <v>0</v>
      </c>
      <c r="J341" s="13">
        <f>IF(AnzahlZahlungen&lt;&gt;0,Tabelle1[[#This Row],[Startsaldo]]-Tabelle1[[#This Row],[Zahlung gesamt]],"")</f>
        <v>0</v>
      </c>
      <c r="K341" s="14">
        <f>K340+Tabelle1[[#This Row],[Zinsleistung]]</f>
        <v>58389.377411997804</v>
      </c>
    </row>
    <row r="342" spans="2:11" x14ac:dyDescent="0.25">
      <c r="B342" s="11">
        <f t="shared" si="10"/>
        <v>327</v>
      </c>
      <c r="C342" s="12">
        <f>IF(1,Startdatum,"")</f>
        <v>43281</v>
      </c>
      <c r="D342" s="13">
        <f t="shared" si="11"/>
        <v>0</v>
      </c>
      <c r="E342" s="14">
        <f>IF(AnzahlZahlungen&lt;&gt;"",IF(Tabelle1[[#This Row],[Startsaldo]]&lt;Rate,Tabelle1[[#This Row],[Startsaldo]],Rate),"")</f>
        <v>0</v>
      </c>
      <c r="F342" s="19"/>
      <c r="G342" s="13">
        <f>Tabelle1[[#This Row],[Planmässige Zahlung ]]+Tabelle1[[#This Row],[Sonderzahlung]]</f>
        <v>0</v>
      </c>
      <c r="H342" s="14">
        <f>Tabelle1[[#This Row],[Zahlung gesamt]]-Tabelle1[[#This Row],[Zinsleistung]]</f>
        <v>0</v>
      </c>
      <c r="I342" s="14">
        <f>IF(AnzahlZahlungen&lt;&gt;"",Tabelle1[[#This Row],[Startsaldo]]*Zinssatz/12,"")</f>
        <v>0</v>
      </c>
      <c r="J342" s="13">
        <f>IF(AnzahlZahlungen&lt;&gt;0,Tabelle1[[#This Row],[Startsaldo]]-Tabelle1[[#This Row],[Zahlung gesamt]],"")</f>
        <v>0</v>
      </c>
      <c r="K342" s="14">
        <f>K341+Tabelle1[[#This Row],[Zinsleistung]]</f>
        <v>58389.377411997804</v>
      </c>
    </row>
    <row r="343" spans="2:11" x14ac:dyDescent="0.25">
      <c r="B343" s="11">
        <f t="shared" si="10"/>
        <v>328</v>
      </c>
      <c r="C343" s="12">
        <f>IF(1,Startdatum,"")</f>
        <v>43281</v>
      </c>
      <c r="D343" s="13">
        <f t="shared" si="11"/>
        <v>0</v>
      </c>
      <c r="E343" s="14">
        <f>IF(AnzahlZahlungen&lt;&gt;"",IF(Tabelle1[[#This Row],[Startsaldo]]&lt;Rate,Tabelle1[[#This Row],[Startsaldo]],Rate),"")</f>
        <v>0</v>
      </c>
      <c r="F343" s="19"/>
      <c r="G343" s="13">
        <f>Tabelle1[[#This Row],[Planmässige Zahlung ]]+Tabelle1[[#This Row],[Sonderzahlung]]</f>
        <v>0</v>
      </c>
      <c r="H343" s="14">
        <f>Tabelle1[[#This Row],[Zahlung gesamt]]-Tabelle1[[#This Row],[Zinsleistung]]</f>
        <v>0</v>
      </c>
      <c r="I343" s="14">
        <f>IF(AnzahlZahlungen&lt;&gt;"",Tabelle1[[#This Row],[Startsaldo]]*Zinssatz/12,"")</f>
        <v>0</v>
      </c>
      <c r="J343" s="13">
        <f>IF(AnzahlZahlungen&lt;&gt;0,Tabelle1[[#This Row],[Startsaldo]]-Tabelle1[[#This Row],[Zahlung gesamt]],"")</f>
        <v>0</v>
      </c>
      <c r="K343" s="14">
        <f>K342+Tabelle1[[#This Row],[Zinsleistung]]</f>
        <v>58389.377411997804</v>
      </c>
    </row>
    <row r="344" spans="2:11" x14ac:dyDescent="0.25">
      <c r="B344" s="11">
        <f t="shared" si="10"/>
        <v>329</v>
      </c>
      <c r="C344" s="12">
        <f>IF(1,Startdatum,"")</f>
        <v>43281</v>
      </c>
      <c r="D344" s="13">
        <f t="shared" si="11"/>
        <v>0</v>
      </c>
      <c r="E344" s="14">
        <f>IF(AnzahlZahlungen&lt;&gt;"",IF(Tabelle1[[#This Row],[Startsaldo]]&lt;Rate,Tabelle1[[#This Row],[Startsaldo]],Rate),"")</f>
        <v>0</v>
      </c>
      <c r="F344" s="19"/>
      <c r="G344" s="13">
        <f>Tabelle1[[#This Row],[Planmässige Zahlung ]]+Tabelle1[[#This Row],[Sonderzahlung]]</f>
        <v>0</v>
      </c>
      <c r="H344" s="14">
        <f>Tabelle1[[#This Row],[Zahlung gesamt]]-Tabelle1[[#This Row],[Zinsleistung]]</f>
        <v>0</v>
      </c>
      <c r="I344" s="14">
        <f>IF(AnzahlZahlungen&lt;&gt;"",Tabelle1[[#This Row],[Startsaldo]]*Zinssatz/12,"")</f>
        <v>0</v>
      </c>
      <c r="J344" s="13">
        <f>IF(AnzahlZahlungen&lt;&gt;0,Tabelle1[[#This Row],[Startsaldo]]-Tabelle1[[#This Row],[Zahlung gesamt]],"")</f>
        <v>0</v>
      </c>
      <c r="K344" s="14">
        <f>K343+Tabelle1[[#This Row],[Zinsleistung]]</f>
        <v>58389.377411997804</v>
      </c>
    </row>
    <row r="345" spans="2:11" x14ac:dyDescent="0.25">
      <c r="B345" s="11">
        <f t="shared" si="10"/>
        <v>330</v>
      </c>
      <c r="C345" s="12">
        <f>IF(1,Startdatum,"")</f>
        <v>43281</v>
      </c>
      <c r="D345" s="13">
        <f t="shared" si="11"/>
        <v>0</v>
      </c>
      <c r="E345" s="14">
        <f>IF(AnzahlZahlungen&lt;&gt;"",IF(Tabelle1[[#This Row],[Startsaldo]]&lt;Rate,Tabelle1[[#This Row],[Startsaldo]],Rate),"")</f>
        <v>0</v>
      </c>
      <c r="F345" s="19"/>
      <c r="G345" s="13">
        <f>Tabelle1[[#This Row],[Planmässige Zahlung ]]+Tabelle1[[#This Row],[Sonderzahlung]]</f>
        <v>0</v>
      </c>
      <c r="H345" s="14">
        <f>Tabelle1[[#This Row],[Zahlung gesamt]]-Tabelle1[[#This Row],[Zinsleistung]]</f>
        <v>0</v>
      </c>
      <c r="I345" s="14">
        <f>IF(AnzahlZahlungen&lt;&gt;"",Tabelle1[[#This Row],[Startsaldo]]*Zinssatz/12,"")</f>
        <v>0</v>
      </c>
      <c r="J345" s="13">
        <f>IF(AnzahlZahlungen&lt;&gt;0,Tabelle1[[#This Row],[Startsaldo]]-Tabelle1[[#This Row],[Zahlung gesamt]],"")</f>
        <v>0</v>
      </c>
      <c r="K345" s="14">
        <f>K344+Tabelle1[[#This Row],[Zinsleistung]]</f>
        <v>58389.377411997804</v>
      </c>
    </row>
    <row r="346" spans="2:11" x14ac:dyDescent="0.25">
      <c r="B346" s="11">
        <f t="shared" si="10"/>
        <v>331</v>
      </c>
      <c r="C346" s="12">
        <f>IF(1,Startdatum,"")</f>
        <v>43281</v>
      </c>
      <c r="D346" s="13">
        <f t="shared" si="11"/>
        <v>0</v>
      </c>
      <c r="E346" s="14">
        <f>IF(AnzahlZahlungen&lt;&gt;"",IF(Tabelle1[[#This Row],[Startsaldo]]&lt;Rate,Tabelle1[[#This Row],[Startsaldo]],Rate),"")</f>
        <v>0</v>
      </c>
      <c r="F346" s="19"/>
      <c r="G346" s="13">
        <f>Tabelle1[[#This Row],[Planmässige Zahlung ]]+Tabelle1[[#This Row],[Sonderzahlung]]</f>
        <v>0</v>
      </c>
      <c r="H346" s="14">
        <f>Tabelle1[[#This Row],[Zahlung gesamt]]-Tabelle1[[#This Row],[Zinsleistung]]</f>
        <v>0</v>
      </c>
      <c r="I346" s="14">
        <f>IF(AnzahlZahlungen&lt;&gt;"",Tabelle1[[#This Row],[Startsaldo]]*Zinssatz/12,"")</f>
        <v>0</v>
      </c>
      <c r="J346" s="13">
        <f>IF(AnzahlZahlungen&lt;&gt;0,Tabelle1[[#This Row],[Startsaldo]]-Tabelle1[[#This Row],[Zahlung gesamt]],"")</f>
        <v>0</v>
      </c>
      <c r="K346" s="14">
        <f>K345+Tabelle1[[#This Row],[Zinsleistung]]</f>
        <v>58389.377411997804</v>
      </c>
    </row>
    <row r="347" spans="2:11" x14ac:dyDescent="0.25">
      <c r="B347" s="11">
        <f t="shared" si="10"/>
        <v>332</v>
      </c>
      <c r="C347" s="12">
        <f>IF(1,Startdatum,"")</f>
        <v>43281</v>
      </c>
      <c r="D347" s="13">
        <f t="shared" si="11"/>
        <v>0</v>
      </c>
      <c r="E347" s="14">
        <f>IF(AnzahlZahlungen&lt;&gt;"",IF(Tabelle1[[#This Row],[Startsaldo]]&lt;Rate,Tabelle1[[#This Row],[Startsaldo]],Rate),"")</f>
        <v>0</v>
      </c>
      <c r="F347" s="19"/>
      <c r="G347" s="13">
        <f>Tabelle1[[#This Row],[Planmässige Zahlung ]]+Tabelle1[[#This Row],[Sonderzahlung]]</f>
        <v>0</v>
      </c>
      <c r="H347" s="14">
        <f>Tabelle1[[#This Row],[Zahlung gesamt]]-Tabelle1[[#This Row],[Zinsleistung]]</f>
        <v>0</v>
      </c>
      <c r="I347" s="14">
        <f>IF(AnzahlZahlungen&lt;&gt;"",Tabelle1[[#This Row],[Startsaldo]]*Zinssatz/12,"")</f>
        <v>0</v>
      </c>
      <c r="J347" s="13">
        <f>IF(AnzahlZahlungen&lt;&gt;0,Tabelle1[[#This Row],[Startsaldo]]-Tabelle1[[#This Row],[Zahlung gesamt]],"")</f>
        <v>0</v>
      </c>
      <c r="K347" s="14">
        <f>K346+Tabelle1[[#This Row],[Zinsleistung]]</f>
        <v>58389.377411997804</v>
      </c>
    </row>
    <row r="348" spans="2:11" x14ac:dyDescent="0.25">
      <c r="B348" s="11">
        <f t="shared" si="10"/>
        <v>333</v>
      </c>
      <c r="C348" s="12">
        <f>IF(1,Startdatum,"")</f>
        <v>43281</v>
      </c>
      <c r="D348" s="13">
        <f t="shared" si="11"/>
        <v>0</v>
      </c>
      <c r="E348" s="14">
        <f>IF(AnzahlZahlungen&lt;&gt;"",IF(Tabelle1[[#This Row],[Startsaldo]]&lt;Rate,Tabelle1[[#This Row],[Startsaldo]],Rate),"")</f>
        <v>0</v>
      </c>
      <c r="F348" s="19"/>
      <c r="G348" s="13">
        <f>Tabelle1[[#This Row],[Planmässige Zahlung ]]+Tabelle1[[#This Row],[Sonderzahlung]]</f>
        <v>0</v>
      </c>
      <c r="H348" s="14">
        <f>Tabelle1[[#This Row],[Zahlung gesamt]]-Tabelle1[[#This Row],[Zinsleistung]]</f>
        <v>0</v>
      </c>
      <c r="I348" s="14">
        <f>IF(AnzahlZahlungen&lt;&gt;"",Tabelle1[[#This Row],[Startsaldo]]*Zinssatz/12,"")</f>
        <v>0</v>
      </c>
      <c r="J348" s="13">
        <f>IF(AnzahlZahlungen&lt;&gt;0,Tabelle1[[#This Row],[Startsaldo]]-Tabelle1[[#This Row],[Zahlung gesamt]],"")</f>
        <v>0</v>
      </c>
      <c r="K348" s="14">
        <f>K347+Tabelle1[[#This Row],[Zinsleistung]]</f>
        <v>58389.377411997804</v>
      </c>
    </row>
    <row r="349" spans="2:11" x14ac:dyDescent="0.25">
      <c r="B349" s="11">
        <f t="shared" si="10"/>
        <v>334</v>
      </c>
      <c r="C349" s="12">
        <f>IF(1,Startdatum,"")</f>
        <v>43281</v>
      </c>
      <c r="D349" s="13">
        <f t="shared" si="11"/>
        <v>0</v>
      </c>
      <c r="E349" s="14">
        <f>IF(AnzahlZahlungen&lt;&gt;"",IF(Tabelle1[[#This Row],[Startsaldo]]&lt;Rate,Tabelle1[[#This Row],[Startsaldo]],Rate),"")</f>
        <v>0</v>
      </c>
      <c r="F349" s="19"/>
      <c r="G349" s="13">
        <f>Tabelle1[[#This Row],[Planmässige Zahlung ]]+Tabelle1[[#This Row],[Sonderzahlung]]</f>
        <v>0</v>
      </c>
      <c r="H349" s="14">
        <f>Tabelle1[[#This Row],[Zahlung gesamt]]-Tabelle1[[#This Row],[Zinsleistung]]</f>
        <v>0</v>
      </c>
      <c r="I349" s="14">
        <f>IF(AnzahlZahlungen&lt;&gt;"",Tabelle1[[#This Row],[Startsaldo]]*Zinssatz/12,"")</f>
        <v>0</v>
      </c>
      <c r="J349" s="13">
        <f>IF(AnzahlZahlungen&lt;&gt;0,Tabelle1[[#This Row],[Startsaldo]]-Tabelle1[[#This Row],[Zahlung gesamt]],"")</f>
        <v>0</v>
      </c>
      <c r="K349" s="14">
        <f>K348+Tabelle1[[#This Row],[Zinsleistung]]</f>
        <v>58389.377411997804</v>
      </c>
    </row>
    <row r="350" spans="2:11" x14ac:dyDescent="0.25">
      <c r="B350" s="11">
        <f t="shared" si="10"/>
        <v>335</v>
      </c>
      <c r="C350" s="12">
        <f>IF(1,Startdatum,"")</f>
        <v>43281</v>
      </c>
      <c r="D350" s="13">
        <f t="shared" si="11"/>
        <v>0</v>
      </c>
      <c r="E350" s="14">
        <f>IF(AnzahlZahlungen&lt;&gt;"",IF(Tabelle1[[#This Row],[Startsaldo]]&lt;Rate,Tabelle1[[#This Row],[Startsaldo]],Rate),"")</f>
        <v>0</v>
      </c>
      <c r="F350" s="19"/>
      <c r="G350" s="13">
        <f>Tabelle1[[#This Row],[Planmässige Zahlung ]]+Tabelle1[[#This Row],[Sonderzahlung]]</f>
        <v>0</v>
      </c>
      <c r="H350" s="14">
        <f>Tabelle1[[#This Row],[Zahlung gesamt]]-Tabelle1[[#This Row],[Zinsleistung]]</f>
        <v>0</v>
      </c>
      <c r="I350" s="14">
        <f>IF(AnzahlZahlungen&lt;&gt;"",Tabelle1[[#This Row],[Startsaldo]]*Zinssatz/12,"")</f>
        <v>0</v>
      </c>
      <c r="J350" s="13">
        <f>IF(AnzahlZahlungen&lt;&gt;0,Tabelle1[[#This Row],[Startsaldo]]-Tabelle1[[#This Row],[Zahlung gesamt]],"")</f>
        <v>0</v>
      </c>
      <c r="K350" s="14">
        <f>K349+Tabelle1[[#This Row],[Zinsleistung]]</f>
        <v>58389.377411997804</v>
      </c>
    </row>
    <row r="351" spans="2:11" x14ac:dyDescent="0.25">
      <c r="B351" s="11">
        <f t="shared" si="10"/>
        <v>336</v>
      </c>
      <c r="C351" s="12">
        <f>IF(1,Startdatum,"")</f>
        <v>43281</v>
      </c>
      <c r="D351" s="13">
        <f t="shared" si="11"/>
        <v>0</v>
      </c>
      <c r="E351" s="14">
        <f>IF(AnzahlZahlungen&lt;&gt;"",IF(Tabelle1[[#This Row],[Startsaldo]]&lt;Rate,Tabelle1[[#This Row],[Startsaldo]],Rate),"")</f>
        <v>0</v>
      </c>
      <c r="F351" s="19"/>
      <c r="G351" s="13">
        <f>Tabelle1[[#This Row],[Planmässige Zahlung ]]+Tabelle1[[#This Row],[Sonderzahlung]]</f>
        <v>0</v>
      </c>
      <c r="H351" s="14">
        <f>Tabelle1[[#This Row],[Zahlung gesamt]]-Tabelle1[[#This Row],[Zinsleistung]]</f>
        <v>0</v>
      </c>
      <c r="I351" s="14">
        <f>IF(AnzahlZahlungen&lt;&gt;"",Tabelle1[[#This Row],[Startsaldo]]*Zinssatz/12,"")</f>
        <v>0</v>
      </c>
      <c r="J351" s="13">
        <f>IF(AnzahlZahlungen&lt;&gt;0,Tabelle1[[#This Row],[Startsaldo]]-Tabelle1[[#This Row],[Zahlung gesamt]],"")</f>
        <v>0</v>
      </c>
      <c r="K351" s="14">
        <f>K350+Tabelle1[[#This Row],[Zinsleistung]]</f>
        <v>58389.377411997804</v>
      </c>
    </row>
    <row r="352" spans="2:11" x14ac:dyDescent="0.25">
      <c r="B352" s="11">
        <f t="shared" si="10"/>
        <v>337</v>
      </c>
      <c r="C352" s="12">
        <f>IF(1,Startdatum,"")</f>
        <v>43281</v>
      </c>
      <c r="D352" s="13">
        <f t="shared" si="11"/>
        <v>0</v>
      </c>
      <c r="E352" s="14">
        <f>IF(AnzahlZahlungen&lt;&gt;"",IF(Tabelle1[[#This Row],[Startsaldo]]&lt;Rate,Tabelle1[[#This Row],[Startsaldo]],Rate),"")</f>
        <v>0</v>
      </c>
      <c r="F352" s="19"/>
      <c r="G352" s="13">
        <f>Tabelle1[[#This Row],[Planmässige Zahlung ]]+Tabelle1[[#This Row],[Sonderzahlung]]</f>
        <v>0</v>
      </c>
      <c r="H352" s="14">
        <f>Tabelle1[[#This Row],[Zahlung gesamt]]-Tabelle1[[#This Row],[Zinsleistung]]</f>
        <v>0</v>
      </c>
      <c r="I352" s="14">
        <f>IF(AnzahlZahlungen&lt;&gt;"",Tabelle1[[#This Row],[Startsaldo]]*Zinssatz/12,"")</f>
        <v>0</v>
      </c>
      <c r="J352" s="13">
        <f>IF(AnzahlZahlungen&lt;&gt;0,Tabelle1[[#This Row],[Startsaldo]]-Tabelle1[[#This Row],[Zahlung gesamt]],"")</f>
        <v>0</v>
      </c>
      <c r="K352" s="14">
        <f>K351+Tabelle1[[#This Row],[Zinsleistung]]</f>
        <v>58389.377411997804</v>
      </c>
    </row>
    <row r="353" spans="2:11" x14ac:dyDescent="0.25">
      <c r="B353" s="11">
        <f t="shared" si="10"/>
        <v>338</v>
      </c>
      <c r="C353" s="12">
        <f>IF(1,Startdatum,"")</f>
        <v>43281</v>
      </c>
      <c r="D353" s="13">
        <f t="shared" si="11"/>
        <v>0</v>
      </c>
      <c r="E353" s="14">
        <f>IF(AnzahlZahlungen&lt;&gt;"",IF(Tabelle1[[#This Row],[Startsaldo]]&lt;Rate,Tabelle1[[#This Row],[Startsaldo]],Rate),"")</f>
        <v>0</v>
      </c>
      <c r="F353" s="19"/>
      <c r="G353" s="13">
        <f>Tabelle1[[#This Row],[Planmässige Zahlung ]]+Tabelle1[[#This Row],[Sonderzahlung]]</f>
        <v>0</v>
      </c>
      <c r="H353" s="14">
        <f>Tabelle1[[#This Row],[Zahlung gesamt]]-Tabelle1[[#This Row],[Zinsleistung]]</f>
        <v>0</v>
      </c>
      <c r="I353" s="14">
        <f>IF(AnzahlZahlungen&lt;&gt;"",Tabelle1[[#This Row],[Startsaldo]]*Zinssatz/12,"")</f>
        <v>0</v>
      </c>
      <c r="J353" s="13">
        <f>IF(AnzahlZahlungen&lt;&gt;0,Tabelle1[[#This Row],[Startsaldo]]-Tabelle1[[#This Row],[Zahlung gesamt]],"")</f>
        <v>0</v>
      </c>
      <c r="K353" s="14">
        <f>K352+Tabelle1[[#This Row],[Zinsleistung]]</f>
        <v>58389.377411997804</v>
      </c>
    </row>
    <row r="354" spans="2:11" x14ac:dyDescent="0.25">
      <c r="B354" s="11">
        <f t="shared" si="10"/>
        <v>339</v>
      </c>
      <c r="C354" s="12">
        <f>IF(1,Startdatum,"")</f>
        <v>43281</v>
      </c>
      <c r="D354" s="13">
        <f t="shared" si="11"/>
        <v>0</v>
      </c>
      <c r="E354" s="14">
        <f>IF(AnzahlZahlungen&lt;&gt;"",IF(Tabelle1[[#This Row],[Startsaldo]]&lt;Rate,Tabelle1[[#This Row],[Startsaldo]],Rate),"")</f>
        <v>0</v>
      </c>
      <c r="F354" s="19"/>
      <c r="G354" s="13">
        <f>Tabelle1[[#This Row],[Planmässige Zahlung ]]+Tabelle1[[#This Row],[Sonderzahlung]]</f>
        <v>0</v>
      </c>
      <c r="H354" s="14">
        <f>Tabelle1[[#This Row],[Zahlung gesamt]]-Tabelle1[[#This Row],[Zinsleistung]]</f>
        <v>0</v>
      </c>
      <c r="I354" s="14">
        <f>IF(AnzahlZahlungen&lt;&gt;"",Tabelle1[[#This Row],[Startsaldo]]*Zinssatz/12,"")</f>
        <v>0</v>
      </c>
      <c r="J354" s="13">
        <f>IF(AnzahlZahlungen&lt;&gt;0,Tabelle1[[#This Row],[Startsaldo]]-Tabelle1[[#This Row],[Zahlung gesamt]],"")</f>
        <v>0</v>
      </c>
      <c r="K354" s="14">
        <f>K353+Tabelle1[[#This Row],[Zinsleistung]]</f>
        <v>58389.377411997804</v>
      </c>
    </row>
    <row r="355" spans="2:11" x14ac:dyDescent="0.25">
      <c r="B355" s="11">
        <f t="shared" si="10"/>
        <v>340</v>
      </c>
      <c r="C355" s="12">
        <f>IF(1,Startdatum,"")</f>
        <v>43281</v>
      </c>
      <c r="D355" s="13">
        <f t="shared" si="11"/>
        <v>0</v>
      </c>
      <c r="E355" s="14">
        <f>IF(AnzahlZahlungen&lt;&gt;"",IF(Tabelle1[[#This Row],[Startsaldo]]&lt;Rate,Tabelle1[[#This Row],[Startsaldo]],Rate),"")</f>
        <v>0</v>
      </c>
      <c r="F355" s="19"/>
      <c r="G355" s="13">
        <f>Tabelle1[[#This Row],[Planmässige Zahlung ]]+Tabelle1[[#This Row],[Sonderzahlung]]</f>
        <v>0</v>
      </c>
      <c r="H355" s="14">
        <f>Tabelle1[[#This Row],[Zahlung gesamt]]-Tabelle1[[#This Row],[Zinsleistung]]</f>
        <v>0</v>
      </c>
      <c r="I355" s="14">
        <f>IF(AnzahlZahlungen&lt;&gt;"",Tabelle1[[#This Row],[Startsaldo]]*Zinssatz/12,"")</f>
        <v>0</v>
      </c>
      <c r="J355" s="13">
        <f>IF(AnzahlZahlungen&lt;&gt;0,Tabelle1[[#This Row],[Startsaldo]]-Tabelle1[[#This Row],[Zahlung gesamt]],"")</f>
        <v>0</v>
      </c>
      <c r="K355" s="14">
        <f>K354+Tabelle1[[#This Row],[Zinsleistung]]</f>
        <v>58389.377411997804</v>
      </c>
    </row>
    <row r="356" spans="2:11" x14ac:dyDescent="0.25">
      <c r="B356" s="11">
        <f t="shared" si="10"/>
        <v>341</v>
      </c>
      <c r="C356" s="12">
        <f>IF(1,Startdatum,"")</f>
        <v>43281</v>
      </c>
      <c r="D356" s="13">
        <f t="shared" si="11"/>
        <v>0</v>
      </c>
      <c r="E356" s="14">
        <f>IF(AnzahlZahlungen&lt;&gt;"",IF(Tabelle1[[#This Row],[Startsaldo]]&lt;Rate,Tabelle1[[#This Row],[Startsaldo]],Rate),"")</f>
        <v>0</v>
      </c>
      <c r="F356" s="19"/>
      <c r="G356" s="13">
        <f>Tabelle1[[#This Row],[Planmässige Zahlung ]]+Tabelle1[[#This Row],[Sonderzahlung]]</f>
        <v>0</v>
      </c>
      <c r="H356" s="14">
        <f>Tabelle1[[#This Row],[Zahlung gesamt]]-Tabelle1[[#This Row],[Zinsleistung]]</f>
        <v>0</v>
      </c>
      <c r="I356" s="14">
        <f>IF(AnzahlZahlungen&lt;&gt;"",Tabelle1[[#This Row],[Startsaldo]]*Zinssatz/12,"")</f>
        <v>0</v>
      </c>
      <c r="J356" s="13">
        <f>IF(AnzahlZahlungen&lt;&gt;0,Tabelle1[[#This Row],[Startsaldo]]-Tabelle1[[#This Row],[Zahlung gesamt]],"")</f>
        <v>0</v>
      </c>
      <c r="K356" s="14">
        <f>K355+Tabelle1[[#This Row],[Zinsleistung]]</f>
        <v>58389.377411997804</v>
      </c>
    </row>
    <row r="357" spans="2:11" x14ac:dyDescent="0.25">
      <c r="B357" s="11">
        <f t="shared" si="10"/>
        <v>342</v>
      </c>
      <c r="C357" s="12">
        <f>IF(1,Startdatum,"")</f>
        <v>43281</v>
      </c>
      <c r="D357" s="13">
        <f t="shared" si="11"/>
        <v>0</v>
      </c>
      <c r="E357" s="14">
        <f>IF(AnzahlZahlungen&lt;&gt;"",IF(Tabelle1[[#This Row],[Startsaldo]]&lt;Rate,Tabelle1[[#This Row],[Startsaldo]],Rate),"")</f>
        <v>0</v>
      </c>
      <c r="F357" s="19"/>
      <c r="G357" s="13">
        <f>Tabelle1[[#This Row],[Planmässige Zahlung ]]+Tabelle1[[#This Row],[Sonderzahlung]]</f>
        <v>0</v>
      </c>
      <c r="H357" s="14">
        <f>Tabelle1[[#This Row],[Zahlung gesamt]]-Tabelle1[[#This Row],[Zinsleistung]]</f>
        <v>0</v>
      </c>
      <c r="I357" s="14">
        <f>IF(AnzahlZahlungen&lt;&gt;"",Tabelle1[[#This Row],[Startsaldo]]*Zinssatz/12,"")</f>
        <v>0</v>
      </c>
      <c r="J357" s="13">
        <f>IF(AnzahlZahlungen&lt;&gt;0,Tabelle1[[#This Row],[Startsaldo]]-Tabelle1[[#This Row],[Zahlung gesamt]],"")</f>
        <v>0</v>
      </c>
      <c r="K357" s="14">
        <f>K356+Tabelle1[[#This Row],[Zinsleistung]]</f>
        <v>58389.377411997804</v>
      </c>
    </row>
    <row r="358" spans="2:11" x14ac:dyDescent="0.25">
      <c r="B358" s="11">
        <f t="shared" si="10"/>
        <v>343</v>
      </c>
      <c r="C358" s="12">
        <f>IF(1,Startdatum,"")</f>
        <v>43281</v>
      </c>
      <c r="D358" s="13">
        <f t="shared" si="11"/>
        <v>0</v>
      </c>
      <c r="E358" s="14">
        <f>IF(AnzahlZahlungen&lt;&gt;"",IF(Tabelle1[[#This Row],[Startsaldo]]&lt;Rate,Tabelle1[[#This Row],[Startsaldo]],Rate),"")</f>
        <v>0</v>
      </c>
      <c r="F358" s="19"/>
      <c r="G358" s="13">
        <f>Tabelle1[[#This Row],[Planmässige Zahlung ]]+Tabelle1[[#This Row],[Sonderzahlung]]</f>
        <v>0</v>
      </c>
      <c r="H358" s="14">
        <f>Tabelle1[[#This Row],[Zahlung gesamt]]-Tabelle1[[#This Row],[Zinsleistung]]</f>
        <v>0</v>
      </c>
      <c r="I358" s="14">
        <f>IF(AnzahlZahlungen&lt;&gt;"",Tabelle1[[#This Row],[Startsaldo]]*Zinssatz/12,"")</f>
        <v>0</v>
      </c>
      <c r="J358" s="13">
        <f>IF(AnzahlZahlungen&lt;&gt;0,Tabelle1[[#This Row],[Startsaldo]]-Tabelle1[[#This Row],[Zahlung gesamt]],"")</f>
        <v>0</v>
      </c>
      <c r="K358" s="14">
        <f>K357+Tabelle1[[#This Row],[Zinsleistung]]</f>
        <v>58389.377411997804</v>
      </c>
    </row>
    <row r="359" spans="2:11" x14ac:dyDescent="0.25">
      <c r="B359" s="11">
        <f t="shared" si="10"/>
        <v>344</v>
      </c>
      <c r="C359" s="12">
        <f>IF(1,Startdatum,"")</f>
        <v>43281</v>
      </c>
      <c r="D359" s="13">
        <f t="shared" si="11"/>
        <v>0</v>
      </c>
      <c r="E359" s="14">
        <f>IF(AnzahlZahlungen&lt;&gt;"",IF(Tabelle1[[#This Row],[Startsaldo]]&lt;Rate,Tabelle1[[#This Row],[Startsaldo]],Rate),"")</f>
        <v>0</v>
      </c>
      <c r="F359" s="19"/>
      <c r="G359" s="13">
        <f>Tabelle1[[#This Row],[Planmässige Zahlung ]]+Tabelle1[[#This Row],[Sonderzahlung]]</f>
        <v>0</v>
      </c>
      <c r="H359" s="14">
        <f>Tabelle1[[#This Row],[Zahlung gesamt]]-Tabelle1[[#This Row],[Zinsleistung]]</f>
        <v>0</v>
      </c>
      <c r="I359" s="14">
        <f>IF(AnzahlZahlungen&lt;&gt;"",Tabelle1[[#This Row],[Startsaldo]]*Zinssatz/12,"")</f>
        <v>0</v>
      </c>
      <c r="J359" s="13">
        <f>IF(AnzahlZahlungen&lt;&gt;0,Tabelle1[[#This Row],[Startsaldo]]-Tabelle1[[#This Row],[Zahlung gesamt]],"")</f>
        <v>0</v>
      </c>
      <c r="K359" s="14">
        <f>K358+Tabelle1[[#This Row],[Zinsleistung]]</f>
        <v>58389.377411997804</v>
      </c>
    </row>
    <row r="360" spans="2:11" x14ac:dyDescent="0.25">
      <c r="B360" s="11">
        <f t="shared" si="10"/>
        <v>345</v>
      </c>
      <c r="C360" s="12">
        <f>IF(1,Startdatum,"")</f>
        <v>43281</v>
      </c>
      <c r="D360" s="13">
        <f t="shared" si="11"/>
        <v>0</v>
      </c>
      <c r="E360" s="14">
        <f>IF(AnzahlZahlungen&lt;&gt;"",IF(Tabelle1[[#This Row],[Startsaldo]]&lt;Rate,Tabelle1[[#This Row],[Startsaldo]],Rate),"")</f>
        <v>0</v>
      </c>
      <c r="F360" s="19"/>
      <c r="G360" s="13">
        <f>Tabelle1[[#This Row],[Planmässige Zahlung ]]+Tabelle1[[#This Row],[Sonderzahlung]]</f>
        <v>0</v>
      </c>
      <c r="H360" s="14">
        <f>Tabelle1[[#This Row],[Zahlung gesamt]]-Tabelle1[[#This Row],[Zinsleistung]]</f>
        <v>0</v>
      </c>
      <c r="I360" s="14">
        <f>IF(AnzahlZahlungen&lt;&gt;"",Tabelle1[[#This Row],[Startsaldo]]*Zinssatz/12,"")</f>
        <v>0</v>
      </c>
      <c r="J360" s="13">
        <f>IF(AnzahlZahlungen&lt;&gt;0,Tabelle1[[#This Row],[Startsaldo]]-Tabelle1[[#This Row],[Zahlung gesamt]],"")</f>
        <v>0</v>
      </c>
      <c r="K360" s="14">
        <f>K359+Tabelle1[[#This Row],[Zinsleistung]]</f>
        <v>58389.377411997804</v>
      </c>
    </row>
    <row r="361" spans="2:11" x14ac:dyDescent="0.25">
      <c r="B361" s="11">
        <f t="shared" si="10"/>
        <v>346</v>
      </c>
      <c r="C361" s="12">
        <f>IF(1,Startdatum,"")</f>
        <v>43281</v>
      </c>
      <c r="D361" s="13">
        <f t="shared" si="11"/>
        <v>0</v>
      </c>
      <c r="E361" s="14">
        <f>IF(AnzahlZahlungen&lt;&gt;"",IF(Tabelle1[[#This Row],[Startsaldo]]&lt;Rate,Tabelle1[[#This Row],[Startsaldo]],Rate),"")</f>
        <v>0</v>
      </c>
      <c r="F361" s="19"/>
      <c r="G361" s="13">
        <f>Tabelle1[[#This Row],[Planmässige Zahlung ]]+Tabelle1[[#This Row],[Sonderzahlung]]</f>
        <v>0</v>
      </c>
      <c r="H361" s="14">
        <f>Tabelle1[[#This Row],[Zahlung gesamt]]-Tabelle1[[#This Row],[Zinsleistung]]</f>
        <v>0</v>
      </c>
      <c r="I361" s="14">
        <f>IF(AnzahlZahlungen&lt;&gt;"",Tabelle1[[#This Row],[Startsaldo]]*Zinssatz/12,"")</f>
        <v>0</v>
      </c>
      <c r="J361" s="13">
        <f>IF(AnzahlZahlungen&lt;&gt;0,Tabelle1[[#This Row],[Startsaldo]]-Tabelle1[[#This Row],[Zahlung gesamt]],"")</f>
        <v>0</v>
      </c>
      <c r="K361" s="14">
        <f>K360+Tabelle1[[#This Row],[Zinsleistung]]</f>
        <v>58389.377411997804</v>
      </c>
    </row>
    <row r="362" spans="2:11" x14ac:dyDescent="0.25">
      <c r="B362" s="11">
        <f t="shared" si="10"/>
        <v>347</v>
      </c>
      <c r="C362" s="12">
        <f>IF(1,Startdatum,"")</f>
        <v>43281</v>
      </c>
      <c r="D362" s="13">
        <f t="shared" si="11"/>
        <v>0</v>
      </c>
      <c r="E362" s="14">
        <f>IF(AnzahlZahlungen&lt;&gt;"",IF(Tabelle1[[#This Row],[Startsaldo]]&lt;Rate,Tabelle1[[#This Row],[Startsaldo]],Rate),"")</f>
        <v>0</v>
      </c>
      <c r="F362" s="19"/>
      <c r="G362" s="13">
        <f>Tabelle1[[#This Row],[Planmässige Zahlung ]]+Tabelle1[[#This Row],[Sonderzahlung]]</f>
        <v>0</v>
      </c>
      <c r="H362" s="14">
        <f>Tabelle1[[#This Row],[Zahlung gesamt]]-Tabelle1[[#This Row],[Zinsleistung]]</f>
        <v>0</v>
      </c>
      <c r="I362" s="14">
        <f>IF(AnzahlZahlungen&lt;&gt;"",Tabelle1[[#This Row],[Startsaldo]]*Zinssatz/12,"")</f>
        <v>0</v>
      </c>
      <c r="J362" s="13">
        <f>IF(AnzahlZahlungen&lt;&gt;0,Tabelle1[[#This Row],[Startsaldo]]-Tabelle1[[#This Row],[Zahlung gesamt]],"")</f>
        <v>0</v>
      </c>
      <c r="K362" s="14">
        <f>K361+Tabelle1[[#This Row],[Zinsleistung]]</f>
        <v>58389.377411997804</v>
      </c>
    </row>
    <row r="363" spans="2:11" x14ac:dyDescent="0.25">
      <c r="B363" s="11">
        <f t="shared" si="10"/>
        <v>348</v>
      </c>
      <c r="C363" s="12">
        <f>IF(1,Startdatum,"")</f>
        <v>43281</v>
      </c>
      <c r="D363" s="13">
        <f t="shared" si="11"/>
        <v>0</v>
      </c>
      <c r="E363" s="14">
        <f>IF(AnzahlZahlungen&lt;&gt;"",IF(Tabelle1[[#This Row],[Startsaldo]]&lt;Rate,Tabelle1[[#This Row],[Startsaldo]],Rate),"")</f>
        <v>0</v>
      </c>
      <c r="F363" s="19"/>
      <c r="G363" s="13">
        <f>Tabelle1[[#This Row],[Planmässige Zahlung ]]+Tabelle1[[#This Row],[Sonderzahlung]]</f>
        <v>0</v>
      </c>
      <c r="H363" s="14">
        <f>Tabelle1[[#This Row],[Zahlung gesamt]]-Tabelle1[[#This Row],[Zinsleistung]]</f>
        <v>0</v>
      </c>
      <c r="I363" s="14">
        <f>IF(AnzahlZahlungen&lt;&gt;"",Tabelle1[[#This Row],[Startsaldo]]*Zinssatz/12,"")</f>
        <v>0</v>
      </c>
      <c r="J363" s="13">
        <f>IF(AnzahlZahlungen&lt;&gt;0,Tabelle1[[#This Row],[Startsaldo]]-Tabelle1[[#This Row],[Zahlung gesamt]],"")</f>
        <v>0</v>
      </c>
      <c r="K363" s="14">
        <f>K362+Tabelle1[[#This Row],[Zinsleistung]]</f>
        <v>58389.377411997804</v>
      </c>
    </row>
    <row r="364" spans="2:11" x14ac:dyDescent="0.25">
      <c r="B364" s="11">
        <f t="shared" si="10"/>
        <v>349</v>
      </c>
      <c r="C364" s="12">
        <f>IF(1,Startdatum,"")</f>
        <v>43281</v>
      </c>
      <c r="D364" s="13">
        <f t="shared" si="11"/>
        <v>0</v>
      </c>
      <c r="E364" s="14">
        <f>IF(AnzahlZahlungen&lt;&gt;"",IF(Tabelle1[[#This Row],[Startsaldo]]&lt;Rate,Tabelle1[[#This Row],[Startsaldo]],Rate),"")</f>
        <v>0</v>
      </c>
      <c r="F364" s="19"/>
      <c r="G364" s="13">
        <f>Tabelle1[[#This Row],[Planmässige Zahlung ]]+Tabelle1[[#This Row],[Sonderzahlung]]</f>
        <v>0</v>
      </c>
      <c r="H364" s="14">
        <f>Tabelle1[[#This Row],[Zahlung gesamt]]-Tabelle1[[#This Row],[Zinsleistung]]</f>
        <v>0</v>
      </c>
      <c r="I364" s="14">
        <f>IF(AnzahlZahlungen&lt;&gt;"",Tabelle1[[#This Row],[Startsaldo]]*Zinssatz/12,"")</f>
        <v>0</v>
      </c>
      <c r="J364" s="13">
        <f>IF(AnzahlZahlungen&lt;&gt;0,Tabelle1[[#This Row],[Startsaldo]]-Tabelle1[[#This Row],[Zahlung gesamt]],"")</f>
        <v>0</v>
      </c>
      <c r="K364" s="14">
        <f>K363+Tabelle1[[#This Row],[Zinsleistung]]</f>
        <v>58389.377411997804</v>
      </c>
    </row>
    <row r="365" spans="2:11" x14ac:dyDescent="0.25">
      <c r="B365" s="11">
        <f t="shared" si="10"/>
        <v>350</v>
      </c>
      <c r="C365" s="12">
        <f>IF(1,Startdatum,"")</f>
        <v>43281</v>
      </c>
      <c r="D365" s="13">
        <f t="shared" si="11"/>
        <v>0</v>
      </c>
      <c r="E365" s="14">
        <f>IF(AnzahlZahlungen&lt;&gt;"",IF(Tabelle1[[#This Row],[Startsaldo]]&lt;Rate,Tabelle1[[#This Row],[Startsaldo]],Rate),"")</f>
        <v>0</v>
      </c>
      <c r="F365" s="19"/>
      <c r="G365" s="13">
        <f>Tabelle1[[#This Row],[Planmässige Zahlung ]]+Tabelle1[[#This Row],[Sonderzahlung]]</f>
        <v>0</v>
      </c>
      <c r="H365" s="14">
        <f>Tabelle1[[#This Row],[Zahlung gesamt]]-Tabelle1[[#This Row],[Zinsleistung]]</f>
        <v>0</v>
      </c>
      <c r="I365" s="14">
        <f>IF(AnzahlZahlungen&lt;&gt;"",Tabelle1[[#This Row],[Startsaldo]]*Zinssatz/12,"")</f>
        <v>0</v>
      </c>
      <c r="J365" s="13">
        <f>IF(AnzahlZahlungen&lt;&gt;0,Tabelle1[[#This Row],[Startsaldo]]-Tabelle1[[#This Row],[Zahlung gesamt]],"")</f>
        <v>0</v>
      </c>
      <c r="K365" s="14">
        <f>K364+Tabelle1[[#This Row],[Zinsleistung]]</f>
        <v>58389.377411997804</v>
      </c>
    </row>
    <row r="366" spans="2:11" x14ac:dyDescent="0.25">
      <c r="B366" s="11">
        <f t="shared" si="10"/>
        <v>351</v>
      </c>
      <c r="C366" s="12">
        <f>IF(1,Startdatum,"")</f>
        <v>43281</v>
      </c>
      <c r="D366" s="13">
        <f t="shared" si="11"/>
        <v>0</v>
      </c>
      <c r="E366" s="14">
        <f>IF(AnzahlZahlungen&lt;&gt;"",IF(Tabelle1[[#This Row],[Startsaldo]]&lt;Rate,Tabelle1[[#This Row],[Startsaldo]],Rate),"")</f>
        <v>0</v>
      </c>
      <c r="F366" s="19"/>
      <c r="G366" s="13">
        <f>Tabelle1[[#This Row],[Planmässige Zahlung ]]+Tabelle1[[#This Row],[Sonderzahlung]]</f>
        <v>0</v>
      </c>
      <c r="H366" s="14">
        <f>Tabelle1[[#This Row],[Zahlung gesamt]]-Tabelle1[[#This Row],[Zinsleistung]]</f>
        <v>0</v>
      </c>
      <c r="I366" s="14">
        <f>IF(AnzahlZahlungen&lt;&gt;"",Tabelle1[[#This Row],[Startsaldo]]*Zinssatz/12,"")</f>
        <v>0</v>
      </c>
      <c r="J366" s="13">
        <f>IF(AnzahlZahlungen&lt;&gt;0,Tabelle1[[#This Row],[Startsaldo]]-Tabelle1[[#This Row],[Zahlung gesamt]],"")</f>
        <v>0</v>
      </c>
      <c r="K366" s="14">
        <f>K365+Tabelle1[[#This Row],[Zinsleistung]]</f>
        <v>58389.377411997804</v>
      </c>
    </row>
    <row r="367" spans="2:11" x14ac:dyDescent="0.25">
      <c r="B367" s="11">
        <f t="shared" si="10"/>
        <v>352</v>
      </c>
      <c r="C367" s="12">
        <f>IF(1,Startdatum,"")</f>
        <v>43281</v>
      </c>
      <c r="D367" s="13">
        <f t="shared" si="11"/>
        <v>0</v>
      </c>
      <c r="E367" s="14">
        <f>IF(AnzahlZahlungen&lt;&gt;"",IF(Tabelle1[[#This Row],[Startsaldo]]&lt;Rate,Tabelle1[[#This Row],[Startsaldo]],Rate),"")</f>
        <v>0</v>
      </c>
      <c r="F367" s="19"/>
      <c r="G367" s="13">
        <f>Tabelle1[[#This Row],[Planmässige Zahlung ]]+Tabelle1[[#This Row],[Sonderzahlung]]</f>
        <v>0</v>
      </c>
      <c r="H367" s="14">
        <f>Tabelle1[[#This Row],[Zahlung gesamt]]-Tabelle1[[#This Row],[Zinsleistung]]</f>
        <v>0</v>
      </c>
      <c r="I367" s="14">
        <f>IF(AnzahlZahlungen&lt;&gt;"",Tabelle1[[#This Row],[Startsaldo]]*Zinssatz/12,"")</f>
        <v>0</v>
      </c>
      <c r="J367" s="13">
        <f>IF(AnzahlZahlungen&lt;&gt;0,Tabelle1[[#This Row],[Startsaldo]]-Tabelle1[[#This Row],[Zahlung gesamt]],"")</f>
        <v>0</v>
      </c>
      <c r="K367" s="14">
        <f>K366+Tabelle1[[#This Row],[Zinsleistung]]</f>
        <v>58389.377411997804</v>
      </c>
    </row>
    <row r="368" spans="2:11" x14ac:dyDescent="0.25">
      <c r="B368" s="11">
        <f t="shared" si="10"/>
        <v>353</v>
      </c>
      <c r="C368" s="12">
        <f>IF(1,Startdatum,"")</f>
        <v>43281</v>
      </c>
      <c r="D368" s="13">
        <f t="shared" si="11"/>
        <v>0</v>
      </c>
      <c r="E368" s="14">
        <f>IF(AnzahlZahlungen&lt;&gt;"",IF(Tabelle1[[#This Row],[Startsaldo]]&lt;Rate,Tabelle1[[#This Row],[Startsaldo]],Rate),"")</f>
        <v>0</v>
      </c>
      <c r="F368" s="19"/>
      <c r="G368" s="13">
        <f>Tabelle1[[#This Row],[Planmässige Zahlung ]]+Tabelle1[[#This Row],[Sonderzahlung]]</f>
        <v>0</v>
      </c>
      <c r="H368" s="14">
        <f>Tabelle1[[#This Row],[Zahlung gesamt]]-Tabelle1[[#This Row],[Zinsleistung]]</f>
        <v>0</v>
      </c>
      <c r="I368" s="14">
        <f>IF(AnzahlZahlungen&lt;&gt;"",Tabelle1[[#This Row],[Startsaldo]]*Zinssatz/12,"")</f>
        <v>0</v>
      </c>
      <c r="J368" s="13">
        <f>IF(AnzahlZahlungen&lt;&gt;0,Tabelle1[[#This Row],[Startsaldo]]-Tabelle1[[#This Row],[Zahlung gesamt]],"")</f>
        <v>0</v>
      </c>
      <c r="K368" s="14">
        <f>K367+Tabelle1[[#This Row],[Zinsleistung]]</f>
        <v>58389.377411997804</v>
      </c>
    </row>
    <row r="369" spans="2:11" x14ac:dyDescent="0.25">
      <c r="B369" s="11">
        <f t="shared" si="10"/>
        <v>354</v>
      </c>
      <c r="C369" s="12">
        <f>IF(1,Startdatum,"")</f>
        <v>43281</v>
      </c>
      <c r="D369" s="13">
        <f t="shared" si="11"/>
        <v>0</v>
      </c>
      <c r="E369" s="14">
        <f>IF(AnzahlZahlungen&lt;&gt;"",IF(Tabelle1[[#This Row],[Startsaldo]]&lt;Rate,Tabelle1[[#This Row],[Startsaldo]],Rate),"")</f>
        <v>0</v>
      </c>
      <c r="F369" s="19"/>
      <c r="G369" s="13">
        <f>Tabelle1[[#This Row],[Planmässige Zahlung ]]+Tabelle1[[#This Row],[Sonderzahlung]]</f>
        <v>0</v>
      </c>
      <c r="H369" s="14">
        <f>Tabelle1[[#This Row],[Zahlung gesamt]]-Tabelle1[[#This Row],[Zinsleistung]]</f>
        <v>0</v>
      </c>
      <c r="I369" s="14">
        <f>IF(AnzahlZahlungen&lt;&gt;"",Tabelle1[[#This Row],[Startsaldo]]*Zinssatz/12,"")</f>
        <v>0</v>
      </c>
      <c r="J369" s="13">
        <f>IF(AnzahlZahlungen&lt;&gt;0,Tabelle1[[#This Row],[Startsaldo]]-Tabelle1[[#This Row],[Zahlung gesamt]],"")</f>
        <v>0</v>
      </c>
      <c r="K369" s="14">
        <f>K368+Tabelle1[[#This Row],[Zinsleistung]]</f>
        <v>58389.377411997804</v>
      </c>
    </row>
    <row r="370" spans="2:11" x14ac:dyDescent="0.25">
      <c r="B370" s="11">
        <f t="shared" si="10"/>
        <v>355</v>
      </c>
      <c r="C370" s="12">
        <f>IF(1,Startdatum,"")</f>
        <v>43281</v>
      </c>
      <c r="D370" s="13">
        <f t="shared" si="11"/>
        <v>0</v>
      </c>
      <c r="E370" s="14">
        <f>IF(AnzahlZahlungen&lt;&gt;"",IF(Tabelle1[[#This Row],[Startsaldo]]&lt;Rate,Tabelle1[[#This Row],[Startsaldo]],Rate),"")</f>
        <v>0</v>
      </c>
      <c r="F370" s="19"/>
      <c r="G370" s="13">
        <f>Tabelle1[[#This Row],[Planmässige Zahlung ]]+Tabelle1[[#This Row],[Sonderzahlung]]</f>
        <v>0</v>
      </c>
      <c r="H370" s="14">
        <f>Tabelle1[[#This Row],[Zahlung gesamt]]-Tabelle1[[#This Row],[Zinsleistung]]</f>
        <v>0</v>
      </c>
      <c r="I370" s="14">
        <f>IF(AnzahlZahlungen&lt;&gt;"",Tabelle1[[#This Row],[Startsaldo]]*Zinssatz/12,"")</f>
        <v>0</v>
      </c>
      <c r="J370" s="13">
        <f>IF(AnzahlZahlungen&lt;&gt;0,Tabelle1[[#This Row],[Startsaldo]]-Tabelle1[[#This Row],[Zahlung gesamt]],"")</f>
        <v>0</v>
      </c>
      <c r="K370" s="14">
        <f>K369+Tabelle1[[#This Row],[Zinsleistung]]</f>
        <v>58389.377411997804</v>
      </c>
    </row>
    <row r="371" spans="2:11" x14ac:dyDescent="0.25">
      <c r="B371" s="11">
        <f t="shared" si="10"/>
        <v>356</v>
      </c>
      <c r="C371" s="12">
        <f>IF(1,Startdatum,"")</f>
        <v>43281</v>
      </c>
      <c r="D371" s="13">
        <f t="shared" si="11"/>
        <v>0</v>
      </c>
      <c r="E371" s="14">
        <f>IF(AnzahlZahlungen&lt;&gt;"",IF(Tabelle1[[#This Row],[Startsaldo]]&lt;Rate,Tabelle1[[#This Row],[Startsaldo]],Rate),"")</f>
        <v>0</v>
      </c>
      <c r="F371" s="19"/>
      <c r="G371" s="13">
        <f>Tabelle1[[#This Row],[Planmässige Zahlung ]]+Tabelle1[[#This Row],[Sonderzahlung]]</f>
        <v>0</v>
      </c>
      <c r="H371" s="14">
        <f>Tabelle1[[#This Row],[Zahlung gesamt]]-Tabelle1[[#This Row],[Zinsleistung]]</f>
        <v>0</v>
      </c>
      <c r="I371" s="14">
        <f>IF(AnzahlZahlungen&lt;&gt;"",Tabelle1[[#This Row],[Startsaldo]]*Zinssatz/12,"")</f>
        <v>0</v>
      </c>
      <c r="J371" s="13">
        <f>IF(AnzahlZahlungen&lt;&gt;0,Tabelle1[[#This Row],[Startsaldo]]-Tabelle1[[#This Row],[Zahlung gesamt]],"")</f>
        <v>0</v>
      </c>
      <c r="K371" s="14">
        <f>K370+Tabelle1[[#This Row],[Zinsleistung]]</f>
        <v>58389.377411997804</v>
      </c>
    </row>
    <row r="372" spans="2:11" x14ac:dyDescent="0.25">
      <c r="B372" s="11">
        <f t="shared" si="10"/>
        <v>357</v>
      </c>
      <c r="C372" s="12">
        <f>IF(1,Startdatum,"")</f>
        <v>43281</v>
      </c>
      <c r="D372" s="13">
        <f t="shared" si="11"/>
        <v>0</v>
      </c>
      <c r="E372" s="14">
        <f>IF(AnzahlZahlungen&lt;&gt;"",IF(Tabelle1[[#This Row],[Startsaldo]]&lt;Rate,Tabelle1[[#This Row],[Startsaldo]],Rate),"")</f>
        <v>0</v>
      </c>
      <c r="F372" s="19"/>
      <c r="G372" s="13">
        <f>Tabelle1[[#This Row],[Planmässige Zahlung ]]+Tabelle1[[#This Row],[Sonderzahlung]]</f>
        <v>0</v>
      </c>
      <c r="H372" s="14">
        <f>Tabelle1[[#This Row],[Zahlung gesamt]]-Tabelle1[[#This Row],[Zinsleistung]]</f>
        <v>0</v>
      </c>
      <c r="I372" s="14">
        <f>IF(AnzahlZahlungen&lt;&gt;"",Tabelle1[[#This Row],[Startsaldo]]*Zinssatz/12,"")</f>
        <v>0</v>
      </c>
      <c r="J372" s="13">
        <f>IF(AnzahlZahlungen&lt;&gt;0,Tabelle1[[#This Row],[Startsaldo]]-Tabelle1[[#This Row],[Zahlung gesamt]],"")</f>
        <v>0</v>
      </c>
      <c r="K372" s="14">
        <f>K371+Tabelle1[[#This Row],[Zinsleistung]]</f>
        <v>58389.377411997804</v>
      </c>
    </row>
    <row r="373" spans="2:11" x14ac:dyDescent="0.25">
      <c r="B373" s="11">
        <f t="shared" si="10"/>
        <v>358</v>
      </c>
      <c r="C373" s="12">
        <f>IF(1,Startdatum,"")</f>
        <v>43281</v>
      </c>
      <c r="D373" s="13">
        <f t="shared" si="11"/>
        <v>0</v>
      </c>
      <c r="E373" s="14">
        <f>IF(AnzahlZahlungen&lt;&gt;"",IF(Tabelle1[[#This Row],[Startsaldo]]&lt;Rate,Tabelle1[[#This Row],[Startsaldo]],Rate),"")</f>
        <v>0</v>
      </c>
      <c r="F373" s="19"/>
      <c r="G373" s="13">
        <f>Tabelle1[[#This Row],[Planmässige Zahlung ]]+Tabelle1[[#This Row],[Sonderzahlung]]</f>
        <v>0</v>
      </c>
      <c r="H373" s="14">
        <f>Tabelle1[[#This Row],[Zahlung gesamt]]-Tabelle1[[#This Row],[Zinsleistung]]</f>
        <v>0</v>
      </c>
      <c r="I373" s="14">
        <f>IF(AnzahlZahlungen&lt;&gt;"",Tabelle1[[#This Row],[Startsaldo]]*Zinssatz/12,"")</f>
        <v>0</v>
      </c>
      <c r="J373" s="13">
        <f>IF(AnzahlZahlungen&lt;&gt;0,Tabelle1[[#This Row],[Startsaldo]]-Tabelle1[[#This Row],[Zahlung gesamt]],"")</f>
        <v>0</v>
      </c>
      <c r="K373" s="14">
        <f>K372+Tabelle1[[#This Row],[Zinsleistung]]</f>
        <v>58389.377411997804</v>
      </c>
    </row>
    <row r="374" spans="2:11" x14ac:dyDescent="0.25">
      <c r="B374" s="11">
        <f t="shared" si="10"/>
        <v>359</v>
      </c>
      <c r="C374" s="12">
        <f>IF(1,Startdatum,"")</f>
        <v>43281</v>
      </c>
      <c r="D374" s="13">
        <f t="shared" si="11"/>
        <v>0</v>
      </c>
      <c r="E374" s="14">
        <f>IF(AnzahlZahlungen&lt;&gt;"",IF(Tabelle1[[#This Row],[Startsaldo]]&lt;Rate,Tabelle1[[#This Row],[Startsaldo]],Rate),"")</f>
        <v>0</v>
      </c>
      <c r="F374" s="19"/>
      <c r="G374" s="13">
        <f>Tabelle1[[#This Row],[Planmässige Zahlung ]]+Tabelle1[[#This Row],[Sonderzahlung]]</f>
        <v>0</v>
      </c>
      <c r="H374" s="14">
        <f>Tabelle1[[#This Row],[Zahlung gesamt]]-Tabelle1[[#This Row],[Zinsleistung]]</f>
        <v>0</v>
      </c>
      <c r="I374" s="14">
        <f>IF(AnzahlZahlungen&lt;&gt;"",Tabelle1[[#This Row],[Startsaldo]]*Zinssatz/12,"")</f>
        <v>0</v>
      </c>
      <c r="J374" s="13">
        <f>IF(AnzahlZahlungen&lt;&gt;0,Tabelle1[[#This Row],[Startsaldo]]-Tabelle1[[#This Row],[Zahlung gesamt]],"")</f>
        <v>0</v>
      </c>
      <c r="K374" s="14">
        <f>K373+Tabelle1[[#This Row],[Zinsleistung]]</f>
        <v>58389.377411997804</v>
      </c>
    </row>
    <row r="375" spans="2:11" x14ac:dyDescent="0.25">
      <c r="B375" s="11">
        <f t="shared" si="10"/>
        <v>360</v>
      </c>
      <c r="C375" s="12">
        <f>IF(1,Startdatum,"")</f>
        <v>43281</v>
      </c>
      <c r="D375" s="13">
        <f t="shared" si="11"/>
        <v>0</v>
      </c>
      <c r="E375" s="14">
        <f>IF(AnzahlZahlungen&lt;&gt;"",IF(Tabelle1[[#This Row],[Startsaldo]]&lt;Rate,Tabelle1[[#This Row],[Startsaldo]],Rate),"")</f>
        <v>0</v>
      </c>
      <c r="F375" s="19"/>
      <c r="G375" s="13">
        <f>Tabelle1[[#This Row],[Planmässige Zahlung ]]+Tabelle1[[#This Row],[Sonderzahlung]]</f>
        <v>0</v>
      </c>
      <c r="H375" s="14">
        <f>Tabelle1[[#This Row],[Zahlung gesamt]]-Tabelle1[[#This Row],[Zinsleistung]]</f>
        <v>0</v>
      </c>
      <c r="I375" s="14">
        <f>IF(AnzahlZahlungen&lt;&gt;"",Tabelle1[[#This Row],[Startsaldo]]*Zinssatz/12,"")</f>
        <v>0</v>
      </c>
      <c r="J375" s="13">
        <f>IF(AnzahlZahlungen&lt;&gt;0,Tabelle1[[#This Row],[Startsaldo]]-Tabelle1[[#This Row],[Zahlung gesamt]],"")</f>
        <v>0</v>
      </c>
      <c r="K375" s="14">
        <f>K374+Tabelle1[[#This Row],[Zinsleistung]]</f>
        <v>58389.377411997804</v>
      </c>
    </row>
    <row r="376" spans="2:11" x14ac:dyDescent="0.25">
      <c r="B376" s="11">
        <f t="shared" si="10"/>
        <v>361</v>
      </c>
      <c r="C376" s="12">
        <f>IF(1,Startdatum,"")</f>
        <v>43281</v>
      </c>
      <c r="D376" s="13">
        <f t="shared" si="11"/>
        <v>0</v>
      </c>
      <c r="E376" s="14">
        <f>IF(AnzahlZahlungen&lt;&gt;"",IF(Tabelle1[[#This Row],[Startsaldo]]&lt;Rate,Tabelle1[[#This Row],[Startsaldo]],Rate),"")</f>
        <v>0</v>
      </c>
      <c r="F376" s="19"/>
      <c r="G376" s="13">
        <f>Tabelle1[[#This Row],[Planmässige Zahlung ]]+Tabelle1[[#This Row],[Sonderzahlung]]</f>
        <v>0</v>
      </c>
      <c r="H376" s="14">
        <f>Tabelle1[[#This Row],[Zahlung gesamt]]-Tabelle1[[#This Row],[Zinsleistung]]</f>
        <v>0</v>
      </c>
      <c r="I376" s="14">
        <f>IF(AnzahlZahlungen&lt;&gt;"",Tabelle1[[#This Row],[Startsaldo]]*Zinssatz/12,"")</f>
        <v>0</v>
      </c>
      <c r="J376" s="13">
        <f>IF(AnzahlZahlungen&lt;&gt;0,Tabelle1[[#This Row],[Startsaldo]]-Tabelle1[[#This Row],[Zahlung gesamt]],"")</f>
        <v>0</v>
      </c>
      <c r="K376" s="14">
        <f>K375+Tabelle1[[#This Row],[Zinsleistung]]</f>
        <v>58389.377411997804</v>
      </c>
    </row>
    <row r="377" spans="2:11" x14ac:dyDescent="0.25">
      <c r="B377" s="11">
        <f t="shared" si="10"/>
        <v>362</v>
      </c>
      <c r="C377" s="12">
        <f>IF(1,Startdatum,"")</f>
        <v>43281</v>
      </c>
      <c r="D377" s="13">
        <f t="shared" si="11"/>
        <v>0</v>
      </c>
      <c r="E377" s="14">
        <f>IF(AnzahlZahlungen&lt;&gt;"",IF(Tabelle1[[#This Row],[Startsaldo]]&lt;Rate,Tabelle1[[#This Row],[Startsaldo]],Rate),"")</f>
        <v>0</v>
      </c>
      <c r="F377" s="19"/>
      <c r="G377" s="13">
        <f>Tabelle1[[#This Row],[Planmässige Zahlung ]]+Tabelle1[[#This Row],[Sonderzahlung]]</f>
        <v>0</v>
      </c>
      <c r="H377" s="14">
        <f>Tabelle1[[#This Row],[Zahlung gesamt]]-Tabelle1[[#This Row],[Zinsleistung]]</f>
        <v>0</v>
      </c>
      <c r="I377" s="14">
        <f>IF(AnzahlZahlungen&lt;&gt;"",Tabelle1[[#This Row],[Startsaldo]]*Zinssatz/12,"")</f>
        <v>0</v>
      </c>
      <c r="J377" s="13">
        <f>IF(AnzahlZahlungen&lt;&gt;0,Tabelle1[[#This Row],[Startsaldo]]-Tabelle1[[#This Row],[Zahlung gesamt]],"")</f>
        <v>0</v>
      </c>
      <c r="K377" s="14">
        <f>K376+Tabelle1[[#This Row],[Zinsleistung]]</f>
        <v>58389.377411997804</v>
      </c>
    </row>
    <row r="378" spans="2:11" x14ac:dyDescent="0.25">
      <c r="B378" s="11">
        <f t="shared" si="10"/>
        <v>363</v>
      </c>
      <c r="C378" s="12">
        <f>IF(1,Startdatum,"")</f>
        <v>43281</v>
      </c>
      <c r="D378" s="13">
        <f t="shared" si="11"/>
        <v>0</v>
      </c>
      <c r="E378" s="14">
        <f>IF(AnzahlZahlungen&lt;&gt;"",IF(Tabelle1[[#This Row],[Startsaldo]]&lt;Rate,Tabelle1[[#This Row],[Startsaldo]],Rate),"")</f>
        <v>0</v>
      </c>
      <c r="F378" s="19"/>
      <c r="G378" s="13">
        <f>Tabelle1[[#This Row],[Planmässige Zahlung ]]+Tabelle1[[#This Row],[Sonderzahlung]]</f>
        <v>0</v>
      </c>
      <c r="H378" s="14">
        <f>Tabelle1[[#This Row],[Zahlung gesamt]]-Tabelle1[[#This Row],[Zinsleistung]]</f>
        <v>0</v>
      </c>
      <c r="I378" s="14">
        <f>IF(AnzahlZahlungen&lt;&gt;"",Tabelle1[[#This Row],[Startsaldo]]*Zinssatz/12,"")</f>
        <v>0</v>
      </c>
      <c r="J378" s="13">
        <f>IF(AnzahlZahlungen&lt;&gt;0,Tabelle1[[#This Row],[Startsaldo]]-Tabelle1[[#This Row],[Zahlung gesamt]],"")</f>
        <v>0</v>
      </c>
      <c r="K378" s="14">
        <f>K377+Tabelle1[[#This Row],[Zinsleistung]]</f>
        <v>58389.377411997804</v>
      </c>
    </row>
    <row r="379" spans="2:11" x14ac:dyDescent="0.25">
      <c r="B379" s="11">
        <f t="shared" si="10"/>
        <v>364</v>
      </c>
      <c r="C379" s="12">
        <f>IF(1,Startdatum,"")</f>
        <v>43281</v>
      </c>
      <c r="D379" s="13">
        <f t="shared" si="11"/>
        <v>0</v>
      </c>
      <c r="E379" s="14">
        <f>IF(AnzahlZahlungen&lt;&gt;"",IF(Tabelle1[[#This Row],[Startsaldo]]&lt;Rate,Tabelle1[[#This Row],[Startsaldo]],Rate),"")</f>
        <v>0</v>
      </c>
      <c r="F379" s="19"/>
      <c r="G379" s="13">
        <f>Tabelle1[[#This Row],[Planmässige Zahlung ]]+Tabelle1[[#This Row],[Sonderzahlung]]</f>
        <v>0</v>
      </c>
      <c r="H379" s="14">
        <f>Tabelle1[[#This Row],[Zahlung gesamt]]-Tabelle1[[#This Row],[Zinsleistung]]</f>
        <v>0</v>
      </c>
      <c r="I379" s="14">
        <f>IF(AnzahlZahlungen&lt;&gt;"",Tabelle1[[#This Row],[Startsaldo]]*Zinssatz/12,"")</f>
        <v>0</v>
      </c>
      <c r="J379" s="13">
        <f>IF(AnzahlZahlungen&lt;&gt;0,Tabelle1[[#This Row],[Startsaldo]]-Tabelle1[[#This Row],[Zahlung gesamt]],"")</f>
        <v>0</v>
      </c>
      <c r="K379" s="14">
        <f>K378+Tabelle1[[#This Row],[Zinsleistung]]</f>
        <v>58389.377411997804</v>
      </c>
    </row>
    <row r="380" spans="2:11" x14ac:dyDescent="0.25">
      <c r="B380" s="11">
        <f t="shared" ref="B380:B443" si="12">B379+1</f>
        <v>365</v>
      </c>
      <c r="C380" s="12">
        <f>IF(1,Startdatum,"")</f>
        <v>43281</v>
      </c>
      <c r="D380" s="13">
        <f t="shared" si="11"/>
        <v>0</v>
      </c>
      <c r="E380" s="14">
        <f>IF(AnzahlZahlungen&lt;&gt;"",IF(Tabelle1[[#This Row],[Startsaldo]]&lt;Rate,Tabelle1[[#This Row],[Startsaldo]],Rate),"")</f>
        <v>0</v>
      </c>
      <c r="F380" s="19"/>
      <c r="G380" s="13">
        <f>Tabelle1[[#This Row],[Planmässige Zahlung ]]+Tabelle1[[#This Row],[Sonderzahlung]]</f>
        <v>0</v>
      </c>
      <c r="H380" s="14">
        <f>Tabelle1[[#This Row],[Zahlung gesamt]]-Tabelle1[[#This Row],[Zinsleistung]]</f>
        <v>0</v>
      </c>
      <c r="I380" s="14">
        <f>IF(AnzahlZahlungen&lt;&gt;"",Tabelle1[[#This Row],[Startsaldo]]*Zinssatz/12,"")</f>
        <v>0</v>
      </c>
      <c r="J380" s="13">
        <f>IF(AnzahlZahlungen&lt;&gt;0,Tabelle1[[#This Row],[Startsaldo]]-Tabelle1[[#This Row],[Zahlung gesamt]],"")</f>
        <v>0</v>
      </c>
      <c r="K380" s="14">
        <f>K379+Tabelle1[[#This Row],[Zinsleistung]]</f>
        <v>58389.377411997804</v>
      </c>
    </row>
    <row r="381" spans="2:11" x14ac:dyDescent="0.25">
      <c r="B381" s="11">
        <f t="shared" si="12"/>
        <v>366</v>
      </c>
      <c r="C381" s="12">
        <f>IF(1,Startdatum,"")</f>
        <v>43281</v>
      </c>
      <c r="D381" s="13">
        <f t="shared" si="11"/>
        <v>0</v>
      </c>
      <c r="E381" s="14">
        <f>IF(AnzahlZahlungen&lt;&gt;"",IF(Tabelle1[[#This Row],[Startsaldo]]&lt;Rate,Tabelle1[[#This Row],[Startsaldo]],Rate),"")</f>
        <v>0</v>
      </c>
      <c r="F381" s="19"/>
      <c r="G381" s="13">
        <f>Tabelle1[[#This Row],[Planmässige Zahlung ]]+Tabelle1[[#This Row],[Sonderzahlung]]</f>
        <v>0</v>
      </c>
      <c r="H381" s="14">
        <f>Tabelle1[[#This Row],[Zahlung gesamt]]-Tabelle1[[#This Row],[Zinsleistung]]</f>
        <v>0</v>
      </c>
      <c r="I381" s="14">
        <f>IF(AnzahlZahlungen&lt;&gt;"",Tabelle1[[#This Row],[Startsaldo]]*Zinssatz/12,"")</f>
        <v>0</v>
      </c>
      <c r="J381" s="13">
        <f>IF(AnzahlZahlungen&lt;&gt;0,Tabelle1[[#This Row],[Startsaldo]]-Tabelle1[[#This Row],[Zahlung gesamt]],"")</f>
        <v>0</v>
      </c>
      <c r="K381" s="14">
        <f>K380+Tabelle1[[#This Row],[Zinsleistung]]</f>
        <v>58389.377411997804</v>
      </c>
    </row>
    <row r="382" spans="2:11" x14ac:dyDescent="0.25">
      <c r="B382" s="11">
        <f t="shared" si="12"/>
        <v>367</v>
      </c>
      <c r="C382" s="12">
        <f>IF(1,Startdatum,"")</f>
        <v>43281</v>
      </c>
      <c r="D382" s="13">
        <f t="shared" si="11"/>
        <v>0</v>
      </c>
      <c r="E382" s="14">
        <f>IF(AnzahlZahlungen&lt;&gt;"",IF(Tabelle1[[#This Row],[Startsaldo]]&lt;Rate,Tabelle1[[#This Row],[Startsaldo]],Rate),"")</f>
        <v>0</v>
      </c>
      <c r="F382" s="19"/>
      <c r="G382" s="13">
        <f>Tabelle1[[#This Row],[Planmässige Zahlung ]]+Tabelle1[[#This Row],[Sonderzahlung]]</f>
        <v>0</v>
      </c>
      <c r="H382" s="14">
        <f>Tabelle1[[#This Row],[Zahlung gesamt]]-Tabelle1[[#This Row],[Zinsleistung]]</f>
        <v>0</v>
      </c>
      <c r="I382" s="14">
        <f>IF(AnzahlZahlungen&lt;&gt;"",Tabelle1[[#This Row],[Startsaldo]]*Zinssatz/12,"")</f>
        <v>0</v>
      </c>
      <c r="J382" s="13">
        <f>IF(AnzahlZahlungen&lt;&gt;0,Tabelle1[[#This Row],[Startsaldo]]-Tabelle1[[#This Row],[Zahlung gesamt]],"")</f>
        <v>0</v>
      </c>
      <c r="K382" s="14">
        <f>K381+Tabelle1[[#This Row],[Zinsleistung]]</f>
        <v>58389.377411997804</v>
      </c>
    </row>
    <row r="383" spans="2:11" x14ac:dyDescent="0.25">
      <c r="B383" s="11">
        <f t="shared" si="12"/>
        <v>368</v>
      </c>
      <c r="C383" s="12">
        <f>IF(1,Startdatum,"")</f>
        <v>43281</v>
      </c>
      <c r="D383" s="13">
        <f t="shared" si="11"/>
        <v>0</v>
      </c>
      <c r="E383" s="14">
        <f>IF(AnzahlZahlungen&lt;&gt;"",IF(Tabelle1[[#This Row],[Startsaldo]]&lt;Rate,Tabelle1[[#This Row],[Startsaldo]],Rate),"")</f>
        <v>0</v>
      </c>
      <c r="F383" s="19"/>
      <c r="G383" s="13">
        <f>Tabelle1[[#This Row],[Planmässige Zahlung ]]+Tabelle1[[#This Row],[Sonderzahlung]]</f>
        <v>0</v>
      </c>
      <c r="H383" s="14">
        <f>Tabelle1[[#This Row],[Zahlung gesamt]]-Tabelle1[[#This Row],[Zinsleistung]]</f>
        <v>0</v>
      </c>
      <c r="I383" s="14">
        <f>IF(AnzahlZahlungen&lt;&gt;"",Tabelle1[[#This Row],[Startsaldo]]*Zinssatz/12,"")</f>
        <v>0</v>
      </c>
      <c r="J383" s="13">
        <f>IF(AnzahlZahlungen&lt;&gt;0,Tabelle1[[#This Row],[Startsaldo]]-Tabelle1[[#This Row],[Zahlung gesamt]],"")</f>
        <v>0</v>
      </c>
      <c r="K383" s="14">
        <f>K382+Tabelle1[[#This Row],[Zinsleistung]]</f>
        <v>58389.377411997804</v>
      </c>
    </row>
    <row r="384" spans="2:11" x14ac:dyDescent="0.25">
      <c r="B384" s="11">
        <f t="shared" si="12"/>
        <v>369</v>
      </c>
      <c r="C384" s="12">
        <f>IF(1,Startdatum,"")</f>
        <v>43281</v>
      </c>
      <c r="D384" s="13">
        <f t="shared" si="11"/>
        <v>0</v>
      </c>
      <c r="E384" s="14">
        <f>IF(AnzahlZahlungen&lt;&gt;"",IF(Tabelle1[[#This Row],[Startsaldo]]&lt;Rate,Tabelle1[[#This Row],[Startsaldo]],Rate),"")</f>
        <v>0</v>
      </c>
      <c r="F384" s="19"/>
      <c r="G384" s="13">
        <f>Tabelle1[[#This Row],[Planmässige Zahlung ]]+Tabelle1[[#This Row],[Sonderzahlung]]</f>
        <v>0</v>
      </c>
      <c r="H384" s="14">
        <f>Tabelle1[[#This Row],[Zahlung gesamt]]-Tabelle1[[#This Row],[Zinsleistung]]</f>
        <v>0</v>
      </c>
      <c r="I384" s="14">
        <f>IF(AnzahlZahlungen&lt;&gt;"",Tabelle1[[#This Row],[Startsaldo]]*Zinssatz/12,"")</f>
        <v>0</v>
      </c>
      <c r="J384" s="13">
        <f>IF(AnzahlZahlungen&lt;&gt;0,Tabelle1[[#This Row],[Startsaldo]]-Tabelle1[[#This Row],[Zahlung gesamt]],"")</f>
        <v>0</v>
      </c>
      <c r="K384" s="14">
        <f>K383+Tabelle1[[#This Row],[Zinsleistung]]</f>
        <v>58389.377411997804</v>
      </c>
    </row>
    <row r="385" spans="2:11" x14ac:dyDescent="0.25">
      <c r="B385" s="11">
        <f t="shared" si="12"/>
        <v>370</v>
      </c>
      <c r="C385" s="12">
        <f>IF(1,Startdatum,"")</f>
        <v>43281</v>
      </c>
      <c r="D385" s="13">
        <f t="shared" si="11"/>
        <v>0</v>
      </c>
      <c r="E385" s="14">
        <f>IF(AnzahlZahlungen&lt;&gt;"",IF(Tabelle1[[#This Row],[Startsaldo]]&lt;Rate,Tabelle1[[#This Row],[Startsaldo]],Rate),"")</f>
        <v>0</v>
      </c>
      <c r="F385" s="19"/>
      <c r="G385" s="13">
        <f>Tabelle1[[#This Row],[Planmässige Zahlung ]]+Tabelle1[[#This Row],[Sonderzahlung]]</f>
        <v>0</v>
      </c>
      <c r="H385" s="14">
        <f>Tabelle1[[#This Row],[Zahlung gesamt]]-Tabelle1[[#This Row],[Zinsleistung]]</f>
        <v>0</v>
      </c>
      <c r="I385" s="14">
        <f>IF(AnzahlZahlungen&lt;&gt;"",Tabelle1[[#This Row],[Startsaldo]]*Zinssatz/12,"")</f>
        <v>0</v>
      </c>
      <c r="J385" s="13">
        <f>IF(AnzahlZahlungen&lt;&gt;0,Tabelle1[[#This Row],[Startsaldo]]-Tabelle1[[#This Row],[Zahlung gesamt]],"")</f>
        <v>0</v>
      </c>
      <c r="K385" s="14">
        <f>K384+Tabelle1[[#This Row],[Zinsleistung]]</f>
        <v>58389.377411997804</v>
      </c>
    </row>
    <row r="386" spans="2:11" x14ac:dyDescent="0.25">
      <c r="B386" s="11">
        <f t="shared" si="12"/>
        <v>371</v>
      </c>
      <c r="C386" s="12">
        <f>IF(1,Startdatum,"")</f>
        <v>43281</v>
      </c>
      <c r="D386" s="13">
        <f t="shared" si="11"/>
        <v>0</v>
      </c>
      <c r="E386" s="14">
        <f>IF(AnzahlZahlungen&lt;&gt;"",IF(Tabelle1[[#This Row],[Startsaldo]]&lt;Rate,Tabelle1[[#This Row],[Startsaldo]],Rate),"")</f>
        <v>0</v>
      </c>
      <c r="F386" s="19"/>
      <c r="G386" s="13">
        <f>Tabelle1[[#This Row],[Planmässige Zahlung ]]+Tabelle1[[#This Row],[Sonderzahlung]]</f>
        <v>0</v>
      </c>
      <c r="H386" s="14">
        <f>Tabelle1[[#This Row],[Zahlung gesamt]]-Tabelle1[[#This Row],[Zinsleistung]]</f>
        <v>0</v>
      </c>
      <c r="I386" s="14">
        <f>IF(AnzahlZahlungen&lt;&gt;"",Tabelle1[[#This Row],[Startsaldo]]*Zinssatz/12,"")</f>
        <v>0</v>
      </c>
      <c r="J386" s="13">
        <f>IF(AnzahlZahlungen&lt;&gt;0,Tabelle1[[#This Row],[Startsaldo]]-Tabelle1[[#This Row],[Zahlung gesamt]],"")</f>
        <v>0</v>
      </c>
      <c r="K386" s="14">
        <f>K385+Tabelle1[[#This Row],[Zinsleistung]]</f>
        <v>58389.377411997804</v>
      </c>
    </row>
    <row r="387" spans="2:11" x14ac:dyDescent="0.25">
      <c r="B387" s="11">
        <f t="shared" si="12"/>
        <v>372</v>
      </c>
      <c r="C387" s="12">
        <f>IF(1,Startdatum,"")</f>
        <v>43281</v>
      </c>
      <c r="D387" s="13">
        <f t="shared" si="11"/>
        <v>0</v>
      </c>
      <c r="E387" s="14">
        <f>IF(AnzahlZahlungen&lt;&gt;"",IF(Tabelle1[[#This Row],[Startsaldo]]&lt;Rate,Tabelle1[[#This Row],[Startsaldo]],Rate),"")</f>
        <v>0</v>
      </c>
      <c r="F387" s="19"/>
      <c r="G387" s="13">
        <f>Tabelle1[[#This Row],[Planmässige Zahlung ]]+Tabelle1[[#This Row],[Sonderzahlung]]</f>
        <v>0</v>
      </c>
      <c r="H387" s="14">
        <f>Tabelle1[[#This Row],[Zahlung gesamt]]-Tabelle1[[#This Row],[Zinsleistung]]</f>
        <v>0</v>
      </c>
      <c r="I387" s="14">
        <f>IF(AnzahlZahlungen&lt;&gt;"",Tabelle1[[#This Row],[Startsaldo]]*Zinssatz/12,"")</f>
        <v>0</v>
      </c>
      <c r="J387" s="13">
        <f>IF(AnzahlZahlungen&lt;&gt;0,Tabelle1[[#This Row],[Startsaldo]]-Tabelle1[[#This Row],[Zahlung gesamt]],"")</f>
        <v>0</v>
      </c>
      <c r="K387" s="14">
        <f>K386+Tabelle1[[#This Row],[Zinsleistung]]</f>
        <v>58389.377411997804</v>
      </c>
    </row>
    <row r="388" spans="2:11" x14ac:dyDescent="0.25">
      <c r="B388" s="11">
        <f t="shared" si="12"/>
        <v>373</v>
      </c>
      <c r="C388" s="12">
        <f>IF(1,Startdatum,"")</f>
        <v>43281</v>
      </c>
      <c r="D388" s="13">
        <f t="shared" si="11"/>
        <v>0</v>
      </c>
      <c r="E388" s="14">
        <f>IF(AnzahlZahlungen&lt;&gt;"",IF(Tabelle1[[#This Row],[Startsaldo]]&lt;Rate,Tabelle1[[#This Row],[Startsaldo]],Rate),"")</f>
        <v>0</v>
      </c>
      <c r="F388" s="19"/>
      <c r="G388" s="13">
        <f>Tabelle1[[#This Row],[Planmässige Zahlung ]]+Tabelle1[[#This Row],[Sonderzahlung]]</f>
        <v>0</v>
      </c>
      <c r="H388" s="14">
        <f>Tabelle1[[#This Row],[Zahlung gesamt]]-Tabelle1[[#This Row],[Zinsleistung]]</f>
        <v>0</v>
      </c>
      <c r="I388" s="14">
        <f>IF(AnzahlZahlungen&lt;&gt;"",Tabelle1[[#This Row],[Startsaldo]]*Zinssatz/12,"")</f>
        <v>0</v>
      </c>
      <c r="J388" s="13">
        <f>IF(AnzahlZahlungen&lt;&gt;0,Tabelle1[[#This Row],[Startsaldo]]-Tabelle1[[#This Row],[Zahlung gesamt]],"")</f>
        <v>0</v>
      </c>
      <c r="K388" s="14">
        <f>K387+Tabelle1[[#This Row],[Zinsleistung]]</f>
        <v>58389.377411997804</v>
      </c>
    </row>
    <row r="389" spans="2:11" x14ac:dyDescent="0.25">
      <c r="B389" s="11">
        <f t="shared" si="12"/>
        <v>374</v>
      </c>
      <c r="C389" s="12">
        <f>IF(1,Startdatum,"")</f>
        <v>43281</v>
      </c>
      <c r="D389" s="13">
        <f t="shared" si="11"/>
        <v>0</v>
      </c>
      <c r="E389" s="14">
        <f>IF(AnzahlZahlungen&lt;&gt;"",IF(Tabelle1[[#This Row],[Startsaldo]]&lt;Rate,Tabelle1[[#This Row],[Startsaldo]],Rate),"")</f>
        <v>0</v>
      </c>
      <c r="F389" s="19"/>
      <c r="G389" s="13">
        <f>Tabelle1[[#This Row],[Planmässige Zahlung ]]+Tabelle1[[#This Row],[Sonderzahlung]]</f>
        <v>0</v>
      </c>
      <c r="H389" s="14">
        <f>Tabelle1[[#This Row],[Zahlung gesamt]]-Tabelle1[[#This Row],[Zinsleistung]]</f>
        <v>0</v>
      </c>
      <c r="I389" s="14">
        <f>IF(AnzahlZahlungen&lt;&gt;"",Tabelle1[[#This Row],[Startsaldo]]*Zinssatz/12,"")</f>
        <v>0</v>
      </c>
      <c r="J389" s="13">
        <f>IF(AnzahlZahlungen&lt;&gt;0,Tabelle1[[#This Row],[Startsaldo]]-Tabelle1[[#This Row],[Zahlung gesamt]],"")</f>
        <v>0</v>
      </c>
      <c r="K389" s="14">
        <f>K388+Tabelle1[[#This Row],[Zinsleistung]]</f>
        <v>58389.377411997804</v>
      </c>
    </row>
    <row r="390" spans="2:11" x14ac:dyDescent="0.25">
      <c r="B390" s="11">
        <f t="shared" si="12"/>
        <v>375</v>
      </c>
      <c r="C390" s="12">
        <f>IF(1,Startdatum,"")</f>
        <v>43281</v>
      </c>
      <c r="D390" s="13">
        <f t="shared" si="11"/>
        <v>0</v>
      </c>
      <c r="E390" s="14">
        <f>IF(AnzahlZahlungen&lt;&gt;"",IF(Tabelle1[[#This Row],[Startsaldo]]&lt;Rate,Tabelle1[[#This Row],[Startsaldo]],Rate),"")</f>
        <v>0</v>
      </c>
      <c r="F390" s="19"/>
      <c r="G390" s="13">
        <f>Tabelle1[[#This Row],[Planmässige Zahlung ]]+Tabelle1[[#This Row],[Sonderzahlung]]</f>
        <v>0</v>
      </c>
      <c r="H390" s="14">
        <f>Tabelle1[[#This Row],[Zahlung gesamt]]-Tabelle1[[#This Row],[Zinsleistung]]</f>
        <v>0</v>
      </c>
      <c r="I390" s="14">
        <f>IF(AnzahlZahlungen&lt;&gt;"",Tabelle1[[#This Row],[Startsaldo]]*Zinssatz/12,"")</f>
        <v>0</v>
      </c>
      <c r="J390" s="13">
        <f>IF(AnzahlZahlungen&lt;&gt;0,Tabelle1[[#This Row],[Startsaldo]]-Tabelle1[[#This Row],[Zahlung gesamt]],"")</f>
        <v>0</v>
      </c>
      <c r="K390" s="14">
        <f>K389+Tabelle1[[#This Row],[Zinsleistung]]</f>
        <v>58389.377411997804</v>
      </c>
    </row>
    <row r="391" spans="2:11" x14ac:dyDescent="0.25">
      <c r="B391" s="11">
        <f t="shared" si="12"/>
        <v>376</v>
      </c>
      <c r="C391" s="12">
        <f>IF(1,Startdatum,"")</f>
        <v>43281</v>
      </c>
      <c r="D391" s="13">
        <f t="shared" si="11"/>
        <v>0</v>
      </c>
      <c r="E391" s="14">
        <f>IF(AnzahlZahlungen&lt;&gt;"",IF(Tabelle1[[#This Row],[Startsaldo]]&lt;Rate,Tabelle1[[#This Row],[Startsaldo]],Rate),"")</f>
        <v>0</v>
      </c>
      <c r="F391" s="19"/>
      <c r="G391" s="13">
        <f>Tabelle1[[#This Row],[Planmässige Zahlung ]]+Tabelle1[[#This Row],[Sonderzahlung]]</f>
        <v>0</v>
      </c>
      <c r="H391" s="14">
        <f>Tabelle1[[#This Row],[Zahlung gesamt]]-Tabelle1[[#This Row],[Zinsleistung]]</f>
        <v>0</v>
      </c>
      <c r="I391" s="14">
        <f>IF(AnzahlZahlungen&lt;&gt;"",Tabelle1[[#This Row],[Startsaldo]]*Zinssatz/12,"")</f>
        <v>0</v>
      </c>
      <c r="J391" s="13">
        <f>IF(AnzahlZahlungen&lt;&gt;0,Tabelle1[[#This Row],[Startsaldo]]-Tabelle1[[#This Row],[Zahlung gesamt]],"")</f>
        <v>0</v>
      </c>
      <c r="K391" s="14">
        <f>K390+Tabelle1[[#This Row],[Zinsleistung]]</f>
        <v>58389.377411997804</v>
      </c>
    </row>
    <row r="392" spans="2:11" x14ac:dyDescent="0.25">
      <c r="B392" s="11">
        <f t="shared" si="12"/>
        <v>377</v>
      </c>
      <c r="C392" s="12">
        <f>IF(1,Startdatum,"")</f>
        <v>43281</v>
      </c>
      <c r="D392" s="13">
        <f t="shared" si="11"/>
        <v>0</v>
      </c>
      <c r="E392" s="14">
        <f>IF(AnzahlZahlungen&lt;&gt;"",IF(Tabelle1[[#This Row],[Startsaldo]]&lt;Rate,Tabelle1[[#This Row],[Startsaldo]],Rate),"")</f>
        <v>0</v>
      </c>
      <c r="F392" s="19"/>
      <c r="G392" s="13">
        <f>Tabelle1[[#This Row],[Planmässige Zahlung ]]+Tabelle1[[#This Row],[Sonderzahlung]]</f>
        <v>0</v>
      </c>
      <c r="H392" s="14">
        <f>Tabelle1[[#This Row],[Zahlung gesamt]]-Tabelle1[[#This Row],[Zinsleistung]]</f>
        <v>0</v>
      </c>
      <c r="I392" s="14">
        <f>IF(AnzahlZahlungen&lt;&gt;"",Tabelle1[[#This Row],[Startsaldo]]*Zinssatz/12,"")</f>
        <v>0</v>
      </c>
      <c r="J392" s="13">
        <f>IF(AnzahlZahlungen&lt;&gt;0,Tabelle1[[#This Row],[Startsaldo]]-Tabelle1[[#This Row],[Zahlung gesamt]],"")</f>
        <v>0</v>
      </c>
      <c r="K392" s="14">
        <f>K391+Tabelle1[[#This Row],[Zinsleistung]]</f>
        <v>58389.377411997804</v>
      </c>
    </row>
    <row r="393" spans="2:11" x14ac:dyDescent="0.25">
      <c r="B393" s="11">
        <f t="shared" si="12"/>
        <v>378</v>
      </c>
      <c r="C393" s="12">
        <f>IF(1,Startdatum,"")</f>
        <v>43281</v>
      </c>
      <c r="D393" s="13">
        <f t="shared" si="11"/>
        <v>0</v>
      </c>
      <c r="E393" s="14">
        <f>IF(AnzahlZahlungen&lt;&gt;"",IF(Tabelle1[[#This Row],[Startsaldo]]&lt;Rate,Tabelle1[[#This Row],[Startsaldo]],Rate),"")</f>
        <v>0</v>
      </c>
      <c r="F393" s="19"/>
      <c r="G393" s="13">
        <f>Tabelle1[[#This Row],[Planmässige Zahlung ]]+Tabelle1[[#This Row],[Sonderzahlung]]</f>
        <v>0</v>
      </c>
      <c r="H393" s="14">
        <f>Tabelle1[[#This Row],[Zahlung gesamt]]-Tabelle1[[#This Row],[Zinsleistung]]</f>
        <v>0</v>
      </c>
      <c r="I393" s="14">
        <f>IF(AnzahlZahlungen&lt;&gt;"",Tabelle1[[#This Row],[Startsaldo]]*Zinssatz/12,"")</f>
        <v>0</v>
      </c>
      <c r="J393" s="13">
        <f>IF(AnzahlZahlungen&lt;&gt;0,Tabelle1[[#This Row],[Startsaldo]]-Tabelle1[[#This Row],[Zahlung gesamt]],"")</f>
        <v>0</v>
      </c>
      <c r="K393" s="14">
        <f>K392+Tabelle1[[#This Row],[Zinsleistung]]</f>
        <v>58389.377411997804</v>
      </c>
    </row>
    <row r="394" spans="2:11" x14ac:dyDescent="0.25">
      <c r="B394" s="11">
        <f t="shared" si="12"/>
        <v>379</v>
      </c>
      <c r="C394" s="12">
        <f>IF(1,Startdatum,"")</f>
        <v>43281</v>
      </c>
      <c r="D394" s="13">
        <f t="shared" si="11"/>
        <v>0</v>
      </c>
      <c r="E394" s="14">
        <f>IF(AnzahlZahlungen&lt;&gt;"",IF(Tabelle1[[#This Row],[Startsaldo]]&lt;Rate,Tabelle1[[#This Row],[Startsaldo]],Rate),"")</f>
        <v>0</v>
      </c>
      <c r="F394" s="19"/>
      <c r="G394" s="13">
        <f>Tabelle1[[#This Row],[Planmässige Zahlung ]]+Tabelle1[[#This Row],[Sonderzahlung]]</f>
        <v>0</v>
      </c>
      <c r="H394" s="14">
        <f>Tabelle1[[#This Row],[Zahlung gesamt]]-Tabelle1[[#This Row],[Zinsleistung]]</f>
        <v>0</v>
      </c>
      <c r="I394" s="14">
        <f>IF(AnzahlZahlungen&lt;&gt;"",Tabelle1[[#This Row],[Startsaldo]]*Zinssatz/12,"")</f>
        <v>0</v>
      </c>
      <c r="J394" s="13">
        <f>IF(AnzahlZahlungen&lt;&gt;0,Tabelle1[[#This Row],[Startsaldo]]-Tabelle1[[#This Row],[Zahlung gesamt]],"")</f>
        <v>0</v>
      </c>
      <c r="K394" s="14">
        <f>K393+Tabelle1[[#This Row],[Zinsleistung]]</f>
        <v>58389.377411997804</v>
      </c>
    </row>
    <row r="395" spans="2:11" x14ac:dyDescent="0.25">
      <c r="B395" s="11">
        <f t="shared" si="12"/>
        <v>380</v>
      </c>
      <c r="C395" s="12">
        <f>IF(1,Startdatum,"")</f>
        <v>43281</v>
      </c>
      <c r="D395" s="13">
        <f t="shared" si="11"/>
        <v>0</v>
      </c>
      <c r="E395" s="14">
        <f>IF(AnzahlZahlungen&lt;&gt;"",IF(Tabelle1[[#This Row],[Startsaldo]]&lt;Rate,Tabelle1[[#This Row],[Startsaldo]],Rate),"")</f>
        <v>0</v>
      </c>
      <c r="F395" s="19"/>
      <c r="G395" s="13">
        <f>Tabelle1[[#This Row],[Planmässige Zahlung ]]+Tabelle1[[#This Row],[Sonderzahlung]]</f>
        <v>0</v>
      </c>
      <c r="H395" s="14">
        <f>Tabelle1[[#This Row],[Zahlung gesamt]]-Tabelle1[[#This Row],[Zinsleistung]]</f>
        <v>0</v>
      </c>
      <c r="I395" s="14">
        <f>IF(AnzahlZahlungen&lt;&gt;"",Tabelle1[[#This Row],[Startsaldo]]*Zinssatz/12,"")</f>
        <v>0</v>
      </c>
      <c r="J395" s="13">
        <f>IF(AnzahlZahlungen&lt;&gt;0,Tabelle1[[#This Row],[Startsaldo]]-Tabelle1[[#This Row],[Zahlung gesamt]],"")</f>
        <v>0</v>
      </c>
      <c r="K395" s="14">
        <f>K394+Tabelle1[[#This Row],[Zinsleistung]]</f>
        <v>58389.377411997804</v>
      </c>
    </row>
    <row r="396" spans="2:11" x14ac:dyDescent="0.25">
      <c r="B396" s="11">
        <f t="shared" si="12"/>
        <v>381</v>
      </c>
      <c r="C396" s="12">
        <f>IF(1,Startdatum,"")</f>
        <v>43281</v>
      </c>
      <c r="D396" s="13">
        <f t="shared" si="11"/>
        <v>0</v>
      </c>
      <c r="E396" s="14">
        <f>IF(AnzahlZahlungen&lt;&gt;"",IF(Tabelle1[[#This Row],[Startsaldo]]&lt;Rate,Tabelle1[[#This Row],[Startsaldo]],Rate),"")</f>
        <v>0</v>
      </c>
      <c r="F396" s="19"/>
      <c r="G396" s="13">
        <f>Tabelle1[[#This Row],[Planmässige Zahlung ]]+Tabelle1[[#This Row],[Sonderzahlung]]</f>
        <v>0</v>
      </c>
      <c r="H396" s="14">
        <f>Tabelle1[[#This Row],[Zahlung gesamt]]-Tabelle1[[#This Row],[Zinsleistung]]</f>
        <v>0</v>
      </c>
      <c r="I396" s="14">
        <f>IF(AnzahlZahlungen&lt;&gt;"",Tabelle1[[#This Row],[Startsaldo]]*Zinssatz/12,"")</f>
        <v>0</v>
      </c>
      <c r="J396" s="13">
        <f>IF(AnzahlZahlungen&lt;&gt;0,Tabelle1[[#This Row],[Startsaldo]]-Tabelle1[[#This Row],[Zahlung gesamt]],"")</f>
        <v>0</v>
      </c>
      <c r="K396" s="14">
        <f>K395+Tabelle1[[#This Row],[Zinsleistung]]</f>
        <v>58389.377411997804</v>
      </c>
    </row>
    <row r="397" spans="2:11" x14ac:dyDescent="0.25">
      <c r="B397" s="11">
        <f t="shared" si="12"/>
        <v>382</v>
      </c>
      <c r="C397" s="12">
        <f>IF(1,Startdatum,"")</f>
        <v>43281</v>
      </c>
      <c r="D397" s="13">
        <f t="shared" si="11"/>
        <v>0</v>
      </c>
      <c r="E397" s="14">
        <f>IF(AnzahlZahlungen&lt;&gt;"",IF(Tabelle1[[#This Row],[Startsaldo]]&lt;Rate,Tabelle1[[#This Row],[Startsaldo]],Rate),"")</f>
        <v>0</v>
      </c>
      <c r="F397" s="19"/>
      <c r="G397" s="13">
        <f>Tabelle1[[#This Row],[Planmässige Zahlung ]]+Tabelle1[[#This Row],[Sonderzahlung]]</f>
        <v>0</v>
      </c>
      <c r="H397" s="14">
        <f>Tabelle1[[#This Row],[Zahlung gesamt]]-Tabelle1[[#This Row],[Zinsleistung]]</f>
        <v>0</v>
      </c>
      <c r="I397" s="14">
        <f>IF(AnzahlZahlungen&lt;&gt;"",Tabelle1[[#This Row],[Startsaldo]]*Zinssatz/12,"")</f>
        <v>0</v>
      </c>
      <c r="J397" s="13">
        <f>IF(AnzahlZahlungen&lt;&gt;0,Tabelle1[[#This Row],[Startsaldo]]-Tabelle1[[#This Row],[Zahlung gesamt]],"")</f>
        <v>0</v>
      </c>
      <c r="K397" s="14">
        <f>K396+Tabelle1[[#This Row],[Zinsleistung]]</f>
        <v>58389.377411997804</v>
      </c>
    </row>
    <row r="398" spans="2:11" x14ac:dyDescent="0.25">
      <c r="B398" s="11">
        <f t="shared" si="12"/>
        <v>383</v>
      </c>
      <c r="C398" s="12">
        <f>IF(1,Startdatum,"")</f>
        <v>43281</v>
      </c>
      <c r="D398" s="13">
        <f t="shared" si="11"/>
        <v>0</v>
      </c>
      <c r="E398" s="14">
        <f>IF(AnzahlZahlungen&lt;&gt;"",IF(Tabelle1[[#This Row],[Startsaldo]]&lt;Rate,Tabelle1[[#This Row],[Startsaldo]],Rate),"")</f>
        <v>0</v>
      </c>
      <c r="F398" s="19"/>
      <c r="G398" s="13">
        <f>Tabelle1[[#This Row],[Planmässige Zahlung ]]+Tabelle1[[#This Row],[Sonderzahlung]]</f>
        <v>0</v>
      </c>
      <c r="H398" s="14">
        <f>Tabelle1[[#This Row],[Zahlung gesamt]]-Tabelle1[[#This Row],[Zinsleistung]]</f>
        <v>0</v>
      </c>
      <c r="I398" s="14">
        <f>IF(AnzahlZahlungen&lt;&gt;"",Tabelle1[[#This Row],[Startsaldo]]*Zinssatz/12,"")</f>
        <v>0</v>
      </c>
      <c r="J398" s="13">
        <f>IF(AnzahlZahlungen&lt;&gt;0,Tabelle1[[#This Row],[Startsaldo]]-Tabelle1[[#This Row],[Zahlung gesamt]],"")</f>
        <v>0</v>
      </c>
      <c r="K398" s="14">
        <f>K397+Tabelle1[[#This Row],[Zinsleistung]]</f>
        <v>58389.377411997804</v>
      </c>
    </row>
    <row r="399" spans="2:11" x14ac:dyDescent="0.25">
      <c r="B399" s="11">
        <f t="shared" si="12"/>
        <v>384</v>
      </c>
      <c r="C399" s="12">
        <f>IF(1,Startdatum,"")</f>
        <v>43281</v>
      </c>
      <c r="D399" s="13">
        <f t="shared" si="11"/>
        <v>0</v>
      </c>
      <c r="E399" s="14">
        <f>IF(AnzahlZahlungen&lt;&gt;"",IF(Tabelle1[[#This Row],[Startsaldo]]&lt;Rate,Tabelle1[[#This Row],[Startsaldo]],Rate),"")</f>
        <v>0</v>
      </c>
      <c r="F399" s="19"/>
      <c r="G399" s="13">
        <f>Tabelle1[[#This Row],[Planmässige Zahlung ]]+Tabelle1[[#This Row],[Sonderzahlung]]</f>
        <v>0</v>
      </c>
      <c r="H399" s="14">
        <f>Tabelle1[[#This Row],[Zahlung gesamt]]-Tabelle1[[#This Row],[Zinsleistung]]</f>
        <v>0</v>
      </c>
      <c r="I399" s="14">
        <f>IF(AnzahlZahlungen&lt;&gt;"",Tabelle1[[#This Row],[Startsaldo]]*Zinssatz/12,"")</f>
        <v>0</v>
      </c>
      <c r="J399" s="13">
        <f>IF(AnzahlZahlungen&lt;&gt;0,Tabelle1[[#This Row],[Startsaldo]]-Tabelle1[[#This Row],[Zahlung gesamt]],"")</f>
        <v>0</v>
      </c>
      <c r="K399" s="14">
        <f>K398+Tabelle1[[#This Row],[Zinsleistung]]</f>
        <v>58389.377411997804</v>
      </c>
    </row>
    <row r="400" spans="2:11" x14ac:dyDescent="0.25">
      <c r="B400" s="11">
        <f t="shared" si="12"/>
        <v>385</v>
      </c>
      <c r="C400" s="12">
        <f>IF(1,Startdatum,"")</f>
        <v>43281</v>
      </c>
      <c r="D400" s="13">
        <f t="shared" si="11"/>
        <v>0</v>
      </c>
      <c r="E400" s="14">
        <f>IF(AnzahlZahlungen&lt;&gt;"",IF(Tabelle1[[#This Row],[Startsaldo]]&lt;Rate,Tabelle1[[#This Row],[Startsaldo]],Rate),"")</f>
        <v>0</v>
      </c>
      <c r="F400" s="19"/>
      <c r="G400" s="13">
        <f>Tabelle1[[#This Row],[Planmässige Zahlung ]]+Tabelle1[[#This Row],[Sonderzahlung]]</f>
        <v>0</v>
      </c>
      <c r="H400" s="14">
        <f>Tabelle1[[#This Row],[Zahlung gesamt]]-Tabelle1[[#This Row],[Zinsleistung]]</f>
        <v>0</v>
      </c>
      <c r="I400" s="14">
        <f>IF(AnzahlZahlungen&lt;&gt;"",Tabelle1[[#This Row],[Startsaldo]]*Zinssatz/12,"")</f>
        <v>0</v>
      </c>
      <c r="J400" s="13">
        <f>IF(AnzahlZahlungen&lt;&gt;0,Tabelle1[[#This Row],[Startsaldo]]-Tabelle1[[#This Row],[Zahlung gesamt]],"")</f>
        <v>0</v>
      </c>
      <c r="K400" s="14">
        <f>K399+Tabelle1[[#This Row],[Zinsleistung]]</f>
        <v>58389.377411997804</v>
      </c>
    </row>
    <row r="401" spans="2:11" x14ac:dyDescent="0.25">
      <c r="B401" s="11">
        <f t="shared" si="12"/>
        <v>386</v>
      </c>
      <c r="C401" s="12">
        <f>IF(1,Startdatum,"")</f>
        <v>43281</v>
      </c>
      <c r="D401" s="13">
        <f t="shared" ref="D401:D464" si="13">IF(D400&lt;=Rate,0,D400-H400)</f>
        <v>0</v>
      </c>
      <c r="E401" s="14">
        <f>IF(AnzahlZahlungen&lt;&gt;"",IF(Tabelle1[[#This Row],[Startsaldo]]&lt;Rate,Tabelle1[[#This Row],[Startsaldo]],Rate),"")</f>
        <v>0</v>
      </c>
      <c r="F401" s="19"/>
      <c r="G401" s="13">
        <f>Tabelle1[[#This Row],[Planmässige Zahlung ]]+Tabelle1[[#This Row],[Sonderzahlung]]</f>
        <v>0</v>
      </c>
      <c r="H401" s="14">
        <f>Tabelle1[[#This Row],[Zahlung gesamt]]-Tabelle1[[#This Row],[Zinsleistung]]</f>
        <v>0</v>
      </c>
      <c r="I401" s="14">
        <f>IF(AnzahlZahlungen&lt;&gt;"",Tabelle1[[#This Row],[Startsaldo]]*Zinssatz/12,"")</f>
        <v>0</v>
      </c>
      <c r="J401" s="13">
        <f>IF(AnzahlZahlungen&lt;&gt;0,Tabelle1[[#This Row],[Startsaldo]]-Tabelle1[[#This Row],[Zahlung gesamt]],"")</f>
        <v>0</v>
      </c>
      <c r="K401" s="14">
        <f>K400+Tabelle1[[#This Row],[Zinsleistung]]</f>
        <v>58389.377411997804</v>
      </c>
    </row>
    <row r="402" spans="2:11" x14ac:dyDescent="0.25">
      <c r="B402" s="11">
        <f t="shared" si="12"/>
        <v>387</v>
      </c>
      <c r="C402" s="12">
        <f>IF(1,Startdatum,"")</f>
        <v>43281</v>
      </c>
      <c r="D402" s="13">
        <f t="shared" si="13"/>
        <v>0</v>
      </c>
      <c r="E402" s="14">
        <f>IF(AnzahlZahlungen&lt;&gt;"",IF(Tabelle1[[#This Row],[Startsaldo]]&lt;Rate,Tabelle1[[#This Row],[Startsaldo]],Rate),"")</f>
        <v>0</v>
      </c>
      <c r="F402" s="19"/>
      <c r="G402" s="13">
        <f>Tabelle1[[#This Row],[Planmässige Zahlung ]]+Tabelle1[[#This Row],[Sonderzahlung]]</f>
        <v>0</v>
      </c>
      <c r="H402" s="14">
        <f>Tabelle1[[#This Row],[Zahlung gesamt]]-Tabelle1[[#This Row],[Zinsleistung]]</f>
        <v>0</v>
      </c>
      <c r="I402" s="14">
        <f>IF(AnzahlZahlungen&lt;&gt;"",Tabelle1[[#This Row],[Startsaldo]]*Zinssatz/12,"")</f>
        <v>0</v>
      </c>
      <c r="J402" s="13">
        <f>IF(AnzahlZahlungen&lt;&gt;0,Tabelle1[[#This Row],[Startsaldo]]-Tabelle1[[#This Row],[Zahlung gesamt]],"")</f>
        <v>0</v>
      </c>
      <c r="K402" s="14">
        <f>K401+Tabelle1[[#This Row],[Zinsleistung]]</f>
        <v>58389.377411997804</v>
      </c>
    </row>
    <row r="403" spans="2:11" x14ac:dyDescent="0.25">
      <c r="B403" s="11">
        <f t="shared" si="12"/>
        <v>388</v>
      </c>
      <c r="C403" s="12">
        <f>IF(1,Startdatum,"")</f>
        <v>43281</v>
      </c>
      <c r="D403" s="13">
        <f t="shared" si="13"/>
        <v>0</v>
      </c>
      <c r="E403" s="14">
        <f>IF(AnzahlZahlungen&lt;&gt;"",IF(Tabelle1[[#This Row],[Startsaldo]]&lt;Rate,Tabelle1[[#This Row],[Startsaldo]],Rate),"")</f>
        <v>0</v>
      </c>
      <c r="F403" s="19"/>
      <c r="G403" s="13">
        <f>Tabelle1[[#This Row],[Planmässige Zahlung ]]+Tabelle1[[#This Row],[Sonderzahlung]]</f>
        <v>0</v>
      </c>
      <c r="H403" s="14">
        <f>Tabelle1[[#This Row],[Zahlung gesamt]]-Tabelle1[[#This Row],[Zinsleistung]]</f>
        <v>0</v>
      </c>
      <c r="I403" s="14">
        <f>IF(AnzahlZahlungen&lt;&gt;"",Tabelle1[[#This Row],[Startsaldo]]*Zinssatz/12,"")</f>
        <v>0</v>
      </c>
      <c r="J403" s="13">
        <f>IF(AnzahlZahlungen&lt;&gt;0,Tabelle1[[#This Row],[Startsaldo]]-Tabelle1[[#This Row],[Zahlung gesamt]],"")</f>
        <v>0</v>
      </c>
      <c r="K403" s="14">
        <f>K402+Tabelle1[[#This Row],[Zinsleistung]]</f>
        <v>58389.377411997804</v>
      </c>
    </row>
    <row r="404" spans="2:11" x14ac:dyDescent="0.25">
      <c r="B404" s="11">
        <f t="shared" si="12"/>
        <v>389</v>
      </c>
      <c r="C404" s="12">
        <f>IF(1,Startdatum,"")</f>
        <v>43281</v>
      </c>
      <c r="D404" s="13">
        <f t="shared" si="13"/>
        <v>0</v>
      </c>
      <c r="E404" s="14">
        <f>IF(AnzahlZahlungen&lt;&gt;"",IF(Tabelle1[[#This Row],[Startsaldo]]&lt;Rate,Tabelle1[[#This Row],[Startsaldo]],Rate),"")</f>
        <v>0</v>
      </c>
      <c r="F404" s="19"/>
      <c r="G404" s="13">
        <f>Tabelle1[[#This Row],[Planmässige Zahlung ]]+Tabelle1[[#This Row],[Sonderzahlung]]</f>
        <v>0</v>
      </c>
      <c r="H404" s="14">
        <f>Tabelle1[[#This Row],[Zahlung gesamt]]-Tabelle1[[#This Row],[Zinsleistung]]</f>
        <v>0</v>
      </c>
      <c r="I404" s="14">
        <f>IF(AnzahlZahlungen&lt;&gt;"",Tabelle1[[#This Row],[Startsaldo]]*Zinssatz/12,"")</f>
        <v>0</v>
      </c>
      <c r="J404" s="13">
        <f>IF(AnzahlZahlungen&lt;&gt;0,Tabelle1[[#This Row],[Startsaldo]]-Tabelle1[[#This Row],[Zahlung gesamt]],"")</f>
        <v>0</v>
      </c>
      <c r="K404" s="14">
        <f>K403+Tabelle1[[#This Row],[Zinsleistung]]</f>
        <v>58389.377411997804</v>
      </c>
    </row>
    <row r="405" spans="2:11" x14ac:dyDescent="0.25">
      <c r="B405" s="11">
        <f t="shared" si="12"/>
        <v>390</v>
      </c>
      <c r="C405" s="12">
        <f>IF(1,Startdatum,"")</f>
        <v>43281</v>
      </c>
      <c r="D405" s="13">
        <f t="shared" si="13"/>
        <v>0</v>
      </c>
      <c r="E405" s="14">
        <f>IF(AnzahlZahlungen&lt;&gt;"",IF(Tabelle1[[#This Row],[Startsaldo]]&lt;Rate,Tabelle1[[#This Row],[Startsaldo]],Rate),"")</f>
        <v>0</v>
      </c>
      <c r="F405" s="19"/>
      <c r="G405" s="13">
        <f>Tabelle1[[#This Row],[Planmässige Zahlung ]]+Tabelle1[[#This Row],[Sonderzahlung]]</f>
        <v>0</v>
      </c>
      <c r="H405" s="14">
        <f>Tabelle1[[#This Row],[Zahlung gesamt]]-Tabelle1[[#This Row],[Zinsleistung]]</f>
        <v>0</v>
      </c>
      <c r="I405" s="14">
        <f>IF(AnzahlZahlungen&lt;&gt;"",Tabelle1[[#This Row],[Startsaldo]]*Zinssatz/12,"")</f>
        <v>0</v>
      </c>
      <c r="J405" s="13">
        <f>IF(AnzahlZahlungen&lt;&gt;0,Tabelle1[[#This Row],[Startsaldo]]-Tabelle1[[#This Row],[Zahlung gesamt]],"")</f>
        <v>0</v>
      </c>
      <c r="K405" s="14">
        <f>K404+Tabelle1[[#This Row],[Zinsleistung]]</f>
        <v>58389.377411997804</v>
      </c>
    </row>
    <row r="406" spans="2:11" x14ac:dyDescent="0.25">
      <c r="B406" s="11">
        <f t="shared" si="12"/>
        <v>391</v>
      </c>
      <c r="C406" s="12">
        <f>IF(1,Startdatum,"")</f>
        <v>43281</v>
      </c>
      <c r="D406" s="13">
        <f t="shared" si="13"/>
        <v>0</v>
      </c>
      <c r="E406" s="14">
        <f>IF(AnzahlZahlungen&lt;&gt;"",IF(Tabelle1[[#This Row],[Startsaldo]]&lt;Rate,Tabelle1[[#This Row],[Startsaldo]],Rate),"")</f>
        <v>0</v>
      </c>
      <c r="F406" s="19"/>
      <c r="G406" s="13">
        <f>Tabelle1[[#This Row],[Planmässige Zahlung ]]+Tabelle1[[#This Row],[Sonderzahlung]]</f>
        <v>0</v>
      </c>
      <c r="H406" s="14">
        <f>Tabelle1[[#This Row],[Zahlung gesamt]]-Tabelle1[[#This Row],[Zinsleistung]]</f>
        <v>0</v>
      </c>
      <c r="I406" s="14">
        <f>IF(AnzahlZahlungen&lt;&gt;"",Tabelle1[[#This Row],[Startsaldo]]*Zinssatz/12,"")</f>
        <v>0</v>
      </c>
      <c r="J406" s="13">
        <f>IF(AnzahlZahlungen&lt;&gt;0,Tabelle1[[#This Row],[Startsaldo]]-Tabelle1[[#This Row],[Zahlung gesamt]],"")</f>
        <v>0</v>
      </c>
      <c r="K406" s="14">
        <f>K405+Tabelle1[[#This Row],[Zinsleistung]]</f>
        <v>58389.377411997804</v>
      </c>
    </row>
    <row r="407" spans="2:11" x14ac:dyDescent="0.25">
      <c r="B407" s="11">
        <f t="shared" si="12"/>
        <v>392</v>
      </c>
      <c r="C407" s="12">
        <f>IF(1,Startdatum,"")</f>
        <v>43281</v>
      </c>
      <c r="D407" s="13">
        <f t="shared" si="13"/>
        <v>0</v>
      </c>
      <c r="E407" s="14">
        <f>IF(AnzahlZahlungen&lt;&gt;"",IF(Tabelle1[[#This Row],[Startsaldo]]&lt;Rate,Tabelle1[[#This Row],[Startsaldo]],Rate),"")</f>
        <v>0</v>
      </c>
      <c r="F407" s="19"/>
      <c r="G407" s="13">
        <f>Tabelle1[[#This Row],[Planmässige Zahlung ]]+Tabelle1[[#This Row],[Sonderzahlung]]</f>
        <v>0</v>
      </c>
      <c r="H407" s="14">
        <f>Tabelle1[[#This Row],[Zahlung gesamt]]-Tabelle1[[#This Row],[Zinsleistung]]</f>
        <v>0</v>
      </c>
      <c r="I407" s="14">
        <f>IF(AnzahlZahlungen&lt;&gt;"",Tabelle1[[#This Row],[Startsaldo]]*Zinssatz/12,"")</f>
        <v>0</v>
      </c>
      <c r="J407" s="13">
        <f>IF(AnzahlZahlungen&lt;&gt;0,Tabelle1[[#This Row],[Startsaldo]]-Tabelle1[[#This Row],[Zahlung gesamt]],"")</f>
        <v>0</v>
      </c>
      <c r="K407" s="14">
        <f>K406+Tabelle1[[#This Row],[Zinsleistung]]</f>
        <v>58389.377411997804</v>
      </c>
    </row>
    <row r="408" spans="2:11" x14ac:dyDescent="0.25">
      <c r="B408" s="11">
        <f t="shared" si="12"/>
        <v>393</v>
      </c>
      <c r="C408" s="12">
        <f>IF(1,Startdatum,"")</f>
        <v>43281</v>
      </c>
      <c r="D408" s="13">
        <f t="shared" si="13"/>
        <v>0</v>
      </c>
      <c r="E408" s="14">
        <f>IF(AnzahlZahlungen&lt;&gt;"",IF(Tabelle1[[#This Row],[Startsaldo]]&lt;Rate,Tabelle1[[#This Row],[Startsaldo]],Rate),"")</f>
        <v>0</v>
      </c>
      <c r="F408" s="19"/>
      <c r="G408" s="13">
        <f>Tabelle1[[#This Row],[Planmässige Zahlung ]]+Tabelle1[[#This Row],[Sonderzahlung]]</f>
        <v>0</v>
      </c>
      <c r="H408" s="14">
        <f>Tabelle1[[#This Row],[Zahlung gesamt]]-Tabelle1[[#This Row],[Zinsleistung]]</f>
        <v>0</v>
      </c>
      <c r="I408" s="14">
        <f>IF(AnzahlZahlungen&lt;&gt;"",Tabelle1[[#This Row],[Startsaldo]]*Zinssatz/12,"")</f>
        <v>0</v>
      </c>
      <c r="J408" s="13">
        <f>IF(AnzahlZahlungen&lt;&gt;0,Tabelle1[[#This Row],[Startsaldo]]-Tabelle1[[#This Row],[Zahlung gesamt]],"")</f>
        <v>0</v>
      </c>
      <c r="K408" s="14">
        <f>K407+Tabelle1[[#This Row],[Zinsleistung]]</f>
        <v>58389.377411997804</v>
      </c>
    </row>
    <row r="409" spans="2:11" x14ac:dyDescent="0.25">
      <c r="B409" s="11">
        <f t="shared" si="12"/>
        <v>394</v>
      </c>
      <c r="C409" s="12">
        <f>IF(1,Startdatum,"")</f>
        <v>43281</v>
      </c>
      <c r="D409" s="13">
        <f t="shared" si="13"/>
        <v>0</v>
      </c>
      <c r="E409" s="14">
        <f>IF(AnzahlZahlungen&lt;&gt;"",IF(Tabelle1[[#This Row],[Startsaldo]]&lt;Rate,Tabelle1[[#This Row],[Startsaldo]],Rate),"")</f>
        <v>0</v>
      </c>
      <c r="F409" s="19"/>
      <c r="G409" s="13">
        <f>Tabelle1[[#This Row],[Planmässige Zahlung ]]+Tabelle1[[#This Row],[Sonderzahlung]]</f>
        <v>0</v>
      </c>
      <c r="H409" s="14">
        <f>Tabelle1[[#This Row],[Zahlung gesamt]]-Tabelle1[[#This Row],[Zinsleistung]]</f>
        <v>0</v>
      </c>
      <c r="I409" s="14">
        <f>IF(AnzahlZahlungen&lt;&gt;"",Tabelle1[[#This Row],[Startsaldo]]*Zinssatz/12,"")</f>
        <v>0</v>
      </c>
      <c r="J409" s="13">
        <f>IF(AnzahlZahlungen&lt;&gt;0,Tabelle1[[#This Row],[Startsaldo]]-Tabelle1[[#This Row],[Zahlung gesamt]],"")</f>
        <v>0</v>
      </c>
      <c r="K409" s="14">
        <f>K408+Tabelle1[[#This Row],[Zinsleistung]]</f>
        <v>58389.377411997804</v>
      </c>
    </row>
    <row r="410" spans="2:11" x14ac:dyDescent="0.25">
      <c r="B410" s="11">
        <f t="shared" si="12"/>
        <v>395</v>
      </c>
      <c r="C410" s="12">
        <f>IF(1,Startdatum,"")</f>
        <v>43281</v>
      </c>
      <c r="D410" s="13">
        <f t="shared" si="13"/>
        <v>0</v>
      </c>
      <c r="E410" s="14">
        <f>IF(AnzahlZahlungen&lt;&gt;"",IF(Tabelle1[[#This Row],[Startsaldo]]&lt;Rate,Tabelle1[[#This Row],[Startsaldo]],Rate),"")</f>
        <v>0</v>
      </c>
      <c r="F410" s="19"/>
      <c r="G410" s="13">
        <f>Tabelle1[[#This Row],[Planmässige Zahlung ]]+Tabelle1[[#This Row],[Sonderzahlung]]</f>
        <v>0</v>
      </c>
      <c r="H410" s="14">
        <f>Tabelle1[[#This Row],[Zahlung gesamt]]-Tabelle1[[#This Row],[Zinsleistung]]</f>
        <v>0</v>
      </c>
      <c r="I410" s="14">
        <f>IF(AnzahlZahlungen&lt;&gt;"",Tabelle1[[#This Row],[Startsaldo]]*Zinssatz/12,"")</f>
        <v>0</v>
      </c>
      <c r="J410" s="13">
        <f>IF(AnzahlZahlungen&lt;&gt;0,Tabelle1[[#This Row],[Startsaldo]]-Tabelle1[[#This Row],[Zahlung gesamt]],"")</f>
        <v>0</v>
      </c>
      <c r="K410" s="14">
        <f>K409+Tabelle1[[#This Row],[Zinsleistung]]</f>
        <v>58389.377411997804</v>
      </c>
    </row>
    <row r="411" spans="2:11" x14ac:dyDescent="0.25">
      <c r="B411" s="11">
        <f t="shared" si="12"/>
        <v>396</v>
      </c>
      <c r="C411" s="12">
        <f>IF(1,Startdatum,"")</f>
        <v>43281</v>
      </c>
      <c r="D411" s="13">
        <f t="shared" si="13"/>
        <v>0</v>
      </c>
      <c r="E411" s="14">
        <f>IF(AnzahlZahlungen&lt;&gt;"",IF(Tabelle1[[#This Row],[Startsaldo]]&lt;Rate,Tabelle1[[#This Row],[Startsaldo]],Rate),"")</f>
        <v>0</v>
      </c>
      <c r="F411" s="19"/>
      <c r="G411" s="13">
        <f>Tabelle1[[#This Row],[Planmässige Zahlung ]]+Tabelle1[[#This Row],[Sonderzahlung]]</f>
        <v>0</v>
      </c>
      <c r="H411" s="14">
        <f>Tabelle1[[#This Row],[Zahlung gesamt]]-Tabelle1[[#This Row],[Zinsleistung]]</f>
        <v>0</v>
      </c>
      <c r="I411" s="14">
        <f>IF(AnzahlZahlungen&lt;&gt;"",Tabelle1[[#This Row],[Startsaldo]]*Zinssatz/12,"")</f>
        <v>0</v>
      </c>
      <c r="J411" s="13">
        <f>IF(AnzahlZahlungen&lt;&gt;0,Tabelle1[[#This Row],[Startsaldo]]-Tabelle1[[#This Row],[Zahlung gesamt]],"")</f>
        <v>0</v>
      </c>
      <c r="K411" s="14">
        <f>K410+Tabelle1[[#This Row],[Zinsleistung]]</f>
        <v>58389.377411997804</v>
      </c>
    </row>
    <row r="412" spans="2:11" x14ac:dyDescent="0.25">
      <c r="B412" s="11">
        <f t="shared" si="12"/>
        <v>397</v>
      </c>
      <c r="C412" s="12">
        <f>IF(1,Startdatum,"")</f>
        <v>43281</v>
      </c>
      <c r="D412" s="13">
        <f t="shared" si="13"/>
        <v>0</v>
      </c>
      <c r="E412" s="14">
        <f>IF(AnzahlZahlungen&lt;&gt;"",IF(Tabelle1[[#This Row],[Startsaldo]]&lt;Rate,Tabelle1[[#This Row],[Startsaldo]],Rate),"")</f>
        <v>0</v>
      </c>
      <c r="F412" s="19"/>
      <c r="G412" s="13">
        <f>Tabelle1[[#This Row],[Planmässige Zahlung ]]+Tabelle1[[#This Row],[Sonderzahlung]]</f>
        <v>0</v>
      </c>
      <c r="H412" s="14">
        <f>Tabelle1[[#This Row],[Zahlung gesamt]]-Tabelle1[[#This Row],[Zinsleistung]]</f>
        <v>0</v>
      </c>
      <c r="I412" s="14">
        <f>IF(AnzahlZahlungen&lt;&gt;"",Tabelle1[[#This Row],[Startsaldo]]*Zinssatz/12,"")</f>
        <v>0</v>
      </c>
      <c r="J412" s="13">
        <f>IF(AnzahlZahlungen&lt;&gt;0,Tabelle1[[#This Row],[Startsaldo]]-Tabelle1[[#This Row],[Zahlung gesamt]],"")</f>
        <v>0</v>
      </c>
      <c r="K412" s="14">
        <f>K411+Tabelle1[[#This Row],[Zinsleistung]]</f>
        <v>58389.377411997804</v>
      </c>
    </row>
    <row r="413" spans="2:11" x14ac:dyDescent="0.25">
      <c r="B413" s="11">
        <f t="shared" si="12"/>
        <v>398</v>
      </c>
      <c r="C413" s="12">
        <f>IF(1,Startdatum,"")</f>
        <v>43281</v>
      </c>
      <c r="D413" s="13">
        <f t="shared" si="13"/>
        <v>0</v>
      </c>
      <c r="E413" s="14">
        <f>IF(AnzahlZahlungen&lt;&gt;"",IF(Tabelle1[[#This Row],[Startsaldo]]&lt;Rate,Tabelle1[[#This Row],[Startsaldo]],Rate),"")</f>
        <v>0</v>
      </c>
      <c r="F413" s="19"/>
      <c r="G413" s="13">
        <f>Tabelle1[[#This Row],[Planmässige Zahlung ]]+Tabelle1[[#This Row],[Sonderzahlung]]</f>
        <v>0</v>
      </c>
      <c r="H413" s="14">
        <f>Tabelle1[[#This Row],[Zahlung gesamt]]-Tabelle1[[#This Row],[Zinsleistung]]</f>
        <v>0</v>
      </c>
      <c r="I413" s="14">
        <f>IF(AnzahlZahlungen&lt;&gt;"",Tabelle1[[#This Row],[Startsaldo]]*Zinssatz/12,"")</f>
        <v>0</v>
      </c>
      <c r="J413" s="13">
        <f>IF(AnzahlZahlungen&lt;&gt;0,Tabelle1[[#This Row],[Startsaldo]]-Tabelle1[[#This Row],[Zahlung gesamt]],"")</f>
        <v>0</v>
      </c>
      <c r="K413" s="14">
        <f>K412+Tabelle1[[#This Row],[Zinsleistung]]</f>
        <v>58389.377411997804</v>
      </c>
    </row>
    <row r="414" spans="2:11" x14ac:dyDescent="0.25">
      <c r="B414" s="11">
        <f t="shared" si="12"/>
        <v>399</v>
      </c>
      <c r="C414" s="12">
        <f>IF(1,Startdatum,"")</f>
        <v>43281</v>
      </c>
      <c r="D414" s="13">
        <f t="shared" si="13"/>
        <v>0</v>
      </c>
      <c r="E414" s="14">
        <f>IF(AnzahlZahlungen&lt;&gt;"",IF(Tabelle1[[#This Row],[Startsaldo]]&lt;Rate,Tabelle1[[#This Row],[Startsaldo]],Rate),"")</f>
        <v>0</v>
      </c>
      <c r="F414" s="19"/>
      <c r="G414" s="13">
        <f>Tabelle1[[#This Row],[Planmässige Zahlung ]]+Tabelle1[[#This Row],[Sonderzahlung]]</f>
        <v>0</v>
      </c>
      <c r="H414" s="14">
        <f>Tabelle1[[#This Row],[Zahlung gesamt]]-Tabelle1[[#This Row],[Zinsleistung]]</f>
        <v>0</v>
      </c>
      <c r="I414" s="14">
        <f>IF(AnzahlZahlungen&lt;&gt;"",Tabelle1[[#This Row],[Startsaldo]]*Zinssatz/12,"")</f>
        <v>0</v>
      </c>
      <c r="J414" s="13">
        <f>IF(AnzahlZahlungen&lt;&gt;0,Tabelle1[[#This Row],[Startsaldo]]-Tabelle1[[#This Row],[Zahlung gesamt]],"")</f>
        <v>0</v>
      </c>
      <c r="K414" s="14">
        <f>K413+Tabelle1[[#This Row],[Zinsleistung]]</f>
        <v>58389.377411997804</v>
      </c>
    </row>
    <row r="415" spans="2:11" x14ac:dyDescent="0.25">
      <c r="B415" s="11">
        <f t="shared" si="12"/>
        <v>400</v>
      </c>
      <c r="C415" s="12">
        <f>IF(1,Startdatum,"")</f>
        <v>43281</v>
      </c>
      <c r="D415" s="13">
        <f t="shared" si="13"/>
        <v>0</v>
      </c>
      <c r="E415" s="14">
        <f>IF(AnzahlZahlungen&lt;&gt;"",IF(Tabelle1[[#This Row],[Startsaldo]]&lt;Rate,Tabelle1[[#This Row],[Startsaldo]],Rate),"")</f>
        <v>0</v>
      </c>
      <c r="F415" s="19"/>
      <c r="G415" s="13">
        <f>Tabelle1[[#This Row],[Planmässige Zahlung ]]+Tabelle1[[#This Row],[Sonderzahlung]]</f>
        <v>0</v>
      </c>
      <c r="H415" s="14">
        <f>Tabelle1[[#This Row],[Zahlung gesamt]]-Tabelle1[[#This Row],[Zinsleistung]]</f>
        <v>0</v>
      </c>
      <c r="I415" s="14">
        <f>IF(AnzahlZahlungen&lt;&gt;"",Tabelle1[[#This Row],[Startsaldo]]*Zinssatz/12,"")</f>
        <v>0</v>
      </c>
      <c r="J415" s="13">
        <f>IF(AnzahlZahlungen&lt;&gt;0,Tabelle1[[#This Row],[Startsaldo]]-Tabelle1[[#This Row],[Zahlung gesamt]],"")</f>
        <v>0</v>
      </c>
      <c r="K415" s="14">
        <f>K414+Tabelle1[[#This Row],[Zinsleistung]]</f>
        <v>58389.377411997804</v>
      </c>
    </row>
    <row r="416" spans="2:11" x14ac:dyDescent="0.25">
      <c r="B416" s="11">
        <f t="shared" si="12"/>
        <v>401</v>
      </c>
      <c r="C416" s="12">
        <f>IF(1,Startdatum,"")</f>
        <v>43281</v>
      </c>
      <c r="D416" s="13">
        <f t="shared" si="13"/>
        <v>0</v>
      </c>
      <c r="E416" s="14">
        <f>IF(AnzahlZahlungen&lt;&gt;"",IF(Tabelle1[[#This Row],[Startsaldo]]&lt;Rate,Tabelle1[[#This Row],[Startsaldo]],Rate),"")</f>
        <v>0</v>
      </c>
      <c r="F416" s="19"/>
      <c r="G416" s="13">
        <f>Tabelle1[[#This Row],[Planmässige Zahlung ]]+Tabelle1[[#This Row],[Sonderzahlung]]</f>
        <v>0</v>
      </c>
      <c r="H416" s="14">
        <f>Tabelle1[[#This Row],[Zahlung gesamt]]-Tabelle1[[#This Row],[Zinsleistung]]</f>
        <v>0</v>
      </c>
      <c r="I416" s="14">
        <f>IF(AnzahlZahlungen&lt;&gt;"",Tabelle1[[#This Row],[Startsaldo]]*Zinssatz/12,"")</f>
        <v>0</v>
      </c>
      <c r="J416" s="13">
        <f>IF(AnzahlZahlungen&lt;&gt;0,Tabelle1[[#This Row],[Startsaldo]]-Tabelle1[[#This Row],[Zahlung gesamt]],"")</f>
        <v>0</v>
      </c>
      <c r="K416" s="14">
        <f>K415+Tabelle1[[#This Row],[Zinsleistung]]</f>
        <v>58389.377411997804</v>
      </c>
    </row>
    <row r="417" spans="2:11" x14ac:dyDescent="0.25">
      <c r="B417" s="11">
        <f t="shared" si="12"/>
        <v>402</v>
      </c>
      <c r="C417" s="12">
        <f>IF(1,Startdatum,"")</f>
        <v>43281</v>
      </c>
      <c r="D417" s="13">
        <f t="shared" si="13"/>
        <v>0</v>
      </c>
      <c r="E417" s="14">
        <f>IF(AnzahlZahlungen&lt;&gt;"",IF(Tabelle1[[#This Row],[Startsaldo]]&lt;Rate,Tabelle1[[#This Row],[Startsaldo]],Rate),"")</f>
        <v>0</v>
      </c>
      <c r="F417" s="19"/>
      <c r="G417" s="13">
        <f>Tabelle1[[#This Row],[Planmässige Zahlung ]]+Tabelle1[[#This Row],[Sonderzahlung]]</f>
        <v>0</v>
      </c>
      <c r="H417" s="14">
        <f>Tabelle1[[#This Row],[Zahlung gesamt]]-Tabelle1[[#This Row],[Zinsleistung]]</f>
        <v>0</v>
      </c>
      <c r="I417" s="14">
        <f>IF(AnzahlZahlungen&lt;&gt;"",Tabelle1[[#This Row],[Startsaldo]]*Zinssatz/12,"")</f>
        <v>0</v>
      </c>
      <c r="J417" s="13">
        <f>IF(AnzahlZahlungen&lt;&gt;0,Tabelle1[[#This Row],[Startsaldo]]-Tabelle1[[#This Row],[Zahlung gesamt]],"")</f>
        <v>0</v>
      </c>
      <c r="K417" s="14">
        <f>K416+Tabelle1[[#This Row],[Zinsleistung]]</f>
        <v>58389.377411997804</v>
      </c>
    </row>
    <row r="418" spans="2:11" x14ac:dyDescent="0.25">
      <c r="B418" s="11">
        <f t="shared" si="12"/>
        <v>403</v>
      </c>
      <c r="C418" s="12">
        <f>IF(1,Startdatum,"")</f>
        <v>43281</v>
      </c>
      <c r="D418" s="13">
        <f t="shared" si="13"/>
        <v>0</v>
      </c>
      <c r="E418" s="14">
        <f>IF(AnzahlZahlungen&lt;&gt;"",IF(Tabelle1[[#This Row],[Startsaldo]]&lt;Rate,Tabelle1[[#This Row],[Startsaldo]],Rate),"")</f>
        <v>0</v>
      </c>
      <c r="F418" s="19"/>
      <c r="G418" s="13">
        <f>Tabelle1[[#This Row],[Planmässige Zahlung ]]+Tabelle1[[#This Row],[Sonderzahlung]]</f>
        <v>0</v>
      </c>
      <c r="H418" s="14">
        <f>Tabelle1[[#This Row],[Zahlung gesamt]]-Tabelle1[[#This Row],[Zinsleistung]]</f>
        <v>0</v>
      </c>
      <c r="I418" s="14">
        <f>IF(AnzahlZahlungen&lt;&gt;"",Tabelle1[[#This Row],[Startsaldo]]*Zinssatz/12,"")</f>
        <v>0</v>
      </c>
      <c r="J418" s="13">
        <f>IF(AnzahlZahlungen&lt;&gt;0,Tabelle1[[#This Row],[Startsaldo]]-Tabelle1[[#This Row],[Zahlung gesamt]],"")</f>
        <v>0</v>
      </c>
      <c r="K418" s="14">
        <f>K417+Tabelle1[[#This Row],[Zinsleistung]]</f>
        <v>58389.377411997804</v>
      </c>
    </row>
    <row r="419" spans="2:11" x14ac:dyDescent="0.25">
      <c r="B419" s="11">
        <f t="shared" si="12"/>
        <v>404</v>
      </c>
      <c r="C419" s="12">
        <f>IF(1,Startdatum,"")</f>
        <v>43281</v>
      </c>
      <c r="D419" s="13">
        <f t="shared" si="13"/>
        <v>0</v>
      </c>
      <c r="E419" s="14">
        <f>IF(AnzahlZahlungen&lt;&gt;"",IF(Tabelle1[[#This Row],[Startsaldo]]&lt;Rate,Tabelle1[[#This Row],[Startsaldo]],Rate),"")</f>
        <v>0</v>
      </c>
      <c r="F419" s="19"/>
      <c r="G419" s="13">
        <f>Tabelle1[[#This Row],[Planmässige Zahlung ]]+Tabelle1[[#This Row],[Sonderzahlung]]</f>
        <v>0</v>
      </c>
      <c r="H419" s="14">
        <f>Tabelle1[[#This Row],[Zahlung gesamt]]-Tabelle1[[#This Row],[Zinsleistung]]</f>
        <v>0</v>
      </c>
      <c r="I419" s="14">
        <f>IF(AnzahlZahlungen&lt;&gt;"",Tabelle1[[#This Row],[Startsaldo]]*Zinssatz/12,"")</f>
        <v>0</v>
      </c>
      <c r="J419" s="13">
        <f>IF(AnzahlZahlungen&lt;&gt;0,Tabelle1[[#This Row],[Startsaldo]]-Tabelle1[[#This Row],[Zahlung gesamt]],"")</f>
        <v>0</v>
      </c>
      <c r="K419" s="14">
        <f>K418+Tabelle1[[#This Row],[Zinsleistung]]</f>
        <v>58389.377411997804</v>
      </c>
    </row>
    <row r="420" spans="2:11" x14ac:dyDescent="0.25">
      <c r="B420" s="11">
        <f t="shared" si="12"/>
        <v>405</v>
      </c>
      <c r="C420" s="12">
        <f>IF(1,Startdatum,"")</f>
        <v>43281</v>
      </c>
      <c r="D420" s="13">
        <f t="shared" si="13"/>
        <v>0</v>
      </c>
      <c r="E420" s="14">
        <f>IF(AnzahlZahlungen&lt;&gt;"",IF(Tabelle1[[#This Row],[Startsaldo]]&lt;Rate,Tabelle1[[#This Row],[Startsaldo]],Rate),"")</f>
        <v>0</v>
      </c>
      <c r="F420" s="19"/>
      <c r="G420" s="13">
        <f>Tabelle1[[#This Row],[Planmässige Zahlung ]]+Tabelle1[[#This Row],[Sonderzahlung]]</f>
        <v>0</v>
      </c>
      <c r="H420" s="14">
        <f>Tabelle1[[#This Row],[Zahlung gesamt]]-Tabelle1[[#This Row],[Zinsleistung]]</f>
        <v>0</v>
      </c>
      <c r="I420" s="14">
        <f>IF(AnzahlZahlungen&lt;&gt;"",Tabelle1[[#This Row],[Startsaldo]]*Zinssatz/12,"")</f>
        <v>0</v>
      </c>
      <c r="J420" s="13">
        <f>IF(AnzahlZahlungen&lt;&gt;0,Tabelle1[[#This Row],[Startsaldo]]-Tabelle1[[#This Row],[Zahlung gesamt]],"")</f>
        <v>0</v>
      </c>
      <c r="K420" s="14">
        <f>K419+Tabelle1[[#This Row],[Zinsleistung]]</f>
        <v>58389.377411997804</v>
      </c>
    </row>
    <row r="421" spans="2:11" x14ac:dyDescent="0.25">
      <c r="B421" s="11">
        <f t="shared" si="12"/>
        <v>406</v>
      </c>
      <c r="C421" s="12">
        <f>IF(1,Startdatum,"")</f>
        <v>43281</v>
      </c>
      <c r="D421" s="13">
        <f t="shared" si="13"/>
        <v>0</v>
      </c>
      <c r="E421" s="14">
        <f>IF(AnzahlZahlungen&lt;&gt;"",IF(Tabelle1[[#This Row],[Startsaldo]]&lt;Rate,Tabelle1[[#This Row],[Startsaldo]],Rate),"")</f>
        <v>0</v>
      </c>
      <c r="F421" s="19"/>
      <c r="G421" s="13">
        <f>Tabelle1[[#This Row],[Planmässige Zahlung ]]+Tabelle1[[#This Row],[Sonderzahlung]]</f>
        <v>0</v>
      </c>
      <c r="H421" s="14">
        <f>Tabelle1[[#This Row],[Zahlung gesamt]]-Tabelle1[[#This Row],[Zinsleistung]]</f>
        <v>0</v>
      </c>
      <c r="I421" s="14">
        <f>IF(AnzahlZahlungen&lt;&gt;"",Tabelle1[[#This Row],[Startsaldo]]*Zinssatz/12,"")</f>
        <v>0</v>
      </c>
      <c r="J421" s="13">
        <f>IF(AnzahlZahlungen&lt;&gt;0,Tabelle1[[#This Row],[Startsaldo]]-Tabelle1[[#This Row],[Zahlung gesamt]],"")</f>
        <v>0</v>
      </c>
      <c r="K421" s="14">
        <f>K420+Tabelle1[[#This Row],[Zinsleistung]]</f>
        <v>58389.377411997804</v>
      </c>
    </row>
    <row r="422" spans="2:11" x14ac:dyDescent="0.25">
      <c r="B422" s="11">
        <f t="shared" si="12"/>
        <v>407</v>
      </c>
      <c r="C422" s="12">
        <f>IF(1,Startdatum,"")</f>
        <v>43281</v>
      </c>
      <c r="D422" s="13">
        <f t="shared" si="13"/>
        <v>0</v>
      </c>
      <c r="E422" s="14">
        <f>IF(AnzahlZahlungen&lt;&gt;"",IF(Tabelle1[[#This Row],[Startsaldo]]&lt;Rate,Tabelle1[[#This Row],[Startsaldo]],Rate),"")</f>
        <v>0</v>
      </c>
      <c r="F422" s="19"/>
      <c r="G422" s="13">
        <f>Tabelle1[[#This Row],[Planmässige Zahlung ]]+Tabelle1[[#This Row],[Sonderzahlung]]</f>
        <v>0</v>
      </c>
      <c r="H422" s="14">
        <f>Tabelle1[[#This Row],[Zahlung gesamt]]-Tabelle1[[#This Row],[Zinsleistung]]</f>
        <v>0</v>
      </c>
      <c r="I422" s="14">
        <f>IF(AnzahlZahlungen&lt;&gt;"",Tabelle1[[#This Row],[Startsaldo]]*Zinssatz/12,"")</f>
        <v>0</v>
      </c>
      <c r="J422" s="13">
        <f>IF(AnzahlZahlungen&lt;&gt;0,Tabelle1[[#This Row],[Startsaldo]]-Tabelle1[[#This Row],[Zahlung gesamt]],"")</f>
        <v>0</v>
      </c>
      <c r="K422" s="14">
        <f>K421+Tabelle1[[#This Row],[Zinsleistung]]</f>
        <v>58389.377411997804</v>
      </c>
    </row>
    <row r="423" spans="2:11" x14ac:dyDescent="0.25">
      <c r="B423" s="11">
        <f t="shared" si="12"/>
        <v>408</v>
      </c>
      <c r="C423" s="12">
        <f>IF(1,Startdatum,"")</f>
        <v>43281</v>
      </c>
      <c r="D423" s="13">
        <f t="shared" si="13"/>
        <v>0</v>
      </c>
      <c r="E423" s="14">
        <f>IF(AnzahlZahlungen&lt;&gt;"",IF(Tabelle1[[#This Row],[Startsaldo]]&lt;Rate,Tabelle1[[#This Row],[Startsaldo]],Rate),"")</f>
        <v>0</v>
      </c>
      <c r="F423" s="19"/>
      <c r="G423" s="13">
        <f>Tabelle1[[#This Row],[Planmässige Zahlung ]]+Tabelle1[[#This Row],[Sonderzahlung]]</f>
        <v>0</v>
      </c>
      <c r="H423" s="14">
        <f>Tabelle1[[#This Row],[Zahlung gesamt]]-Tabelle1[[#This Row],[Zinsleistung]]</f>
        <v>0</v>
      </c>
      <c r="I423" s="14">
        <f>IF(AnzahlZahlungen&lt;&gt;"",Tabelle1[[#This Row],[Startsaldo]]*Zinssatz/12,"")</f>
        <v>0</v>
      </c>
      <c r="J423" s="13">
        <f>IF(AnzahlZahlungen&lt;&gt;0,Tabelle1[[#This Row],[Startsaldo]]-Tabelle1[[#This Row],[Zahlung gesamt]],"")</f>
        <v>0</v>
      </c>
      <c r="K423" s="14">
        <f>K422+Tabelle1[[#This Row],[Zinsleistung]]</f>
        <v>58389.377411997804</v>
      </c>
    </row>
    <row r="424" spans="2:11" x14ac:dyDescent="0.25">
      <c r="B424" s="11">
        <f t="shared" si="12"/>
        <v>409</v>
      </c>
      <c r="C424" s="12">
        <f>IF(1,Startdatum,"")</f>
        <v>43281</v>
      </c>
      <c r="D424" s="13">
        <f t="shared" si="13"/>
        <v>0</v>
      </c>
      <c r="E424" s="14">
        <f>IF(AnzahlZahlungen&lt;&gt;"",IF(Tabelle1[[#This Row],[Startsaldo]]&lt;Rate,Tabelle1[[#This Row],[Startsaldo]],Rate),"")</f>
        <v>0</v>
      </c>
      <c r="F424" s="19"/>
      <c r="G424" s="13">
        <f>Tabelle1[[#This Row],[Planmässige Zahlung ]]+Tabelle1[[#This Row],[Sonderzahlung]]</f>
        <v>0</v>
      </c>
      <c r="H424" s="14">
        <f>Tabelle1[[#This Row],[Zahlung gesamt]]-Tabelle1[[#This Row],[Zinsleistung]]</f>
        <v>0</v>
      </c>
      <c r="I424" s="14">
        <f>IF(AnzahlZahlungen&lt;&gt;"",Tabelle1[[#This Row],[Startsaldo]]*Zinssatz/12,"")</f>
        <v>0</v>
      </c>
      <c r="J424" s="13">
        <f>IF(AnzahlZahlungen&lt;&gt;0,Tabelle1[[#This Row],[Startsaldo]]-Tabelle1[[#This Row],[Zahlung gesamt]],"")</f>
        <v>0</v>
      </c>
      <c r="K424" s="14">
        <f>K423+Tabelle1[[#This Row],[Zinsleistung]]</f>
        <v>58389.377411997804</v>
      </c>
    </row>
    <row r="425" spans="2:11" x14ac:dyDescent="0.25">
      <c r="B425" s="11">
        <f t="shared" si="12"/>
        <v>410</v>
      </c>
      <c r="C425" s="12">
        <f>IF(1,Startdatum,"")</f>
        <v>43281</v>
      </c>
      <c r="D425" s="13">
        <f t="shared" si="13"/>
        <v>0</v>
      </c>
      <c r="E425" s="14">
        <f>IF(AnzahlZahlungen&lt;&gt;"",IF(Tabelle1[[#This Row],[Startsaldo]]&lt;Rate,Tabelle1[[#This Row],[Startsaldo]],Rate),"")</f>
        <v>0</v>
      </c>
      <c r="F425" s="19"/>
      <c r="G425" s="13">
        <f>Tabelle1[[#This Row],[Planmässige Zahlung ]]+Tabelle1[[#This Row],[Sonderzahlung]]</f>
        <v>0</v>
      </c>
      <c r="H425" s="14">
        <f>Tabelle1[[#This Row],[Zahlung gesamt]]-Tabelle1[[#This Row],[Zinsleistung]]</f>
        <v>0</v>
      </c>
      <c r="I425" s="14">
        <f>IF(AnzahlZahlungen&lt;&gt;"",Tabelle1[[#This Row],[Startsaldo]]*Zinssatz/12,"")</f>
        <v>0</v>
      </c>
      <c r="J425" s="13">
        <f>IF(AnzahlZahlungen&lt;&gt;0,Tabelle1[[#This Row],[Startsaldo]]-Tabelle1[[#This Row],[Zahlung gesamt]],"")</f>
        <v>0</v>
      </c>
      <c r="K425" s="14">
        <f>K424+Tabelle1[[#This Row],[Zinsleistung]]</f>
        <v>58389.377411997804</v>
      </c>
    </row>
    <row r="426" spans="2:11" x14ac:dyDescent="0.25">
      <c r="B426" s="11">
        <f t="shared" si="12"/>
        <v>411</v>
      </c>
      <c r="C426" s="12">
        <f>IF(1,Startdatum,"")</f>
        <v>43281</v>
      </c>
      <c r="D426" s="13">
        <f t="shared" si="13"/>
        <v>0</v>
      </c>
      <c r="E426" s="14">
        <f>IF(AnzahlZahlungen&lt;&gt;"",IF(Tabelle1[[#This Row],[Startsaldo]]&lt;Rate,Tabelle1[[#This Row],[Startsaldo]],Rate),"")</f>
        <v>0</v>
      </c>
      <c r="F426" s="19"/>
      <c r="G426" s="13">
        <f>Tabelle1[[#This Row],[Planmässige Zahlung ]]+Tabelle1[[#This Row],[Sonderzahlung]]</f>
        <v>0</v>
      </c>
      <c r="H426" s="14">
        <f>Tabelle1[[#This Row],[Zahlung gesamt]]-Tabelle1[[#This Row],[Zinsleistung]]</f>
        <v>0</v>
      </c>
      <c r="I426" s="14">
        <f>IF(AnzahlZahlungen&lt;&gt;"",Tabelle1[[#This Row],[Startsaldo]]*Zinssatz/12,"")</f>
        <v>0</v>
      </c>
      <c r="J426" s="13">
        <f>IF(AnzahlZahlungen&lt;&gt;0,Tabelle1[[#This Row],[Startsaldo]]-Tabelle1[[#This Row],[Zahlung gesamt]],"")</f>
        <v>0</v>
      </c>
      <c r="K426" s="14">
        <f>K425+Tabelle1[[#This Row],[Zinsleistung]]</f>
        <v>58389.377411997804</v>
      </c>
    </row>
    <row r="427" spans="2:11" x14ac:dyDescent="0.25">
      <c r="B427" s="11">
        <f t="shared" si="12"/>
        <v>412</v>
      </c>
      <c r="C427" s="12">
        <f>IF(1,Startdatum,"")</f>
        <v>43281</v>
      </c>
      <c r="D427" s="13">
        <f t="shared" si="13"/>
        <v>0</v>
      </c>
      <c r="E427" s="14">
        <f>IF(AnzahlZahlungen&lt;&gt;"",IF(Tabelle1[[#This Row],[Startsaldo]]&lt;Rate,Tabelle1[[#This Row],[Startsaldo]],Rate),"")</f>
        <v>0</v>
      </c>
      <c r="F427" s="19"/>
      <c r="G427" s="13">
        <f>Tabelle1[[#This Row],[Planmässige Zahlung ]]+Tabelle1[[#This Row],[Sonderzahlung]]</f>
        <v>0</v>
      </c>
      <c r="H427" s="14">
        <f>Tabelle1[[#This Row],[Zahlung gesamt]]-Tabelle1[[#This Row],[Zinsleistung]]</f>
        <v>0</v>
      </c>
      <c r="I427" s="14">
        <f>IF(AnzahlZahlungen&lt;&gt;"",Tabelle1[[#This Row],[Startsaldo]]*Zinssatz/12,"")</f>
        <v>0</v>
      </c>
      <c r="J427" s="13">
        <f>IF(AnzahlZahlungen&lt;&gt;0,Tabelle1[[#This Row],[Startsaldo]]-Tabelle1[[#This Row],[Zahlung gesamt]],"")</f>
        <v>0</v>
      </c>
      <c r="K427" s="14">
        <f>K426+Tabelle1[[#This Row],[Zinsleistung]]</f>
        <v>58389.377411997804</v>
      </c>
    </row>
    <row r="428" spans="2:11" x14ac:dyDescent="0.25">
      <c r="B428" s="11">
        <f t="shared" si="12"/>
        <v>413</v>
      </c>
      <c r="C428" s="12">
        <f>IF(1,Startdatum,"")</f>
        <v>43281</v>
      </c>
      <c r="D428" s="13">
        <f t="shared" si="13"/>
        <v>0</v>
      </c>
      <c r="E428" s="14">
        <f>IF(AnzahlZahlungen&lt;&gt;"",IF(Tabelle1[[#This Row],[Startsaldo]]&lt;Rate,Tabelle1[[#This Row],[Startsaldo]],Rate),"")</f>
        <v>0</v>
      </c>
      <c r="F428" s="19"/>
      <c r="G428" s="13">
        <f>Tabelle1[[#This Row],[Planmässige Zahlung ]]+Tabelle1[[#This Row],[Sonderzahlung]]</f>
        <v>0</v>
      </c>
      <c r="H428" s="14">
        <f>Tabelle1[[#This Row],[Zahlung gesamt]]-Tabelle1[[#This Row],[Zinsleistung]]</f>
        <v>0</v>
      </c>
      <c r="I428" s="14">
        <f>IF(AnzahlZahlungen&lt;&gt;"",Tabelle1[[#This Row],[Startsaldo]]*Zinssatz/12,"")</f>
        <v>0</v>
      </c>
      <c r="J428" s="13">
        <f>IF(AnzahlZahlungen&lt;&gt;0,Tabelle1[[#This Row],[Startsaldo]]-Tabelle1[[#This Row],[Zahlung gesamt]],"")</f>
        <v>0</v>
      </c>
      <c r="K428" s="14">
        <f>K427+Tabelle1[[#This Row],[Zinsleistung]]</f>
        <v>58389.377411997804</v>
      </c>
    </row>
    <row r="429" spans="2:11" x14ac:dyDescent="0.25">
      <c r="B429" s="11">
        <f t="shared" si="12"/>
        <v>414</v>
      </c>
      <c r="C429" s="12">
        <f>IF(1,Startdatum,"")</f>
        <v>43281</v>
      </c>
      <c r="D429" s="13">
        <f t="shared" si="13"/>
        <v>0</v>
      </c>
      <c r="E429" s="14">
        <f>IF(AnzahlZahlungen&lt;&gt;"",IF(Tabelle1[[#This Row],[Startsaldo]]&lt;Rate,Tabelle1[[#This Row],[Startsaldo]],Rate),"")</f>
        <v>0</v>
      </c>
      <c r="F429" s="19"/>
      <c r="G429" s="13">
        <f>Tabelle1[[#This Row],[Planmässige Zahlung ]]+Tabelle1[[#This Row],[Sonderzahlung]]</f>
        <v>0</v>
      </c>
      <c r="H429" s="14">
        <f>Tabelle1[[#This Row],[Zahlung gesamt]]-Tabelle1[[#This Row],[Zinsleistung]]</f>
        <v>0</v>
      </c>
      <c r="I429" s="14">
        <f>IF(AnzahlZahlungen&lt;&gt;"",Tabelle1[[#This Row],[Startsaldo]]*Zinssatz/12,"")</f>
        <v>0</v>
      </c>
      <c r="J429" s="13">
        <f>IF(AnzahlZahlungen&lt;&gt;0,Tabelle1[[#This Row],[Startsaldo]]-Tabelle1[[#This Row],[Zahlung gesamt]],"")</f>
        <v>0</v>
      </c>
      <c r="K429" s="14">
        <f>K428+Tabelle1[[#This Row],[Zinsleistung]]</f>
        <v>58389.377411997804</v>
      </c>
    </row>
    <row r="430" spans="2:11" x14ac:dyDescent="0.25">
      <c r="B430" s="11">
        <f t="shared" si="12"/>
        <v>415</v>
      </c>
      <c r="C430" s="12">
        <f>IF(1,Startdatum,"")</f>
        <v>43281</v>
      </c>
      <c r="D430" s="13">
        <f t="shared" si="13"/>
        <v>0</v>
      </c>
      <c r="E430" s="14">
        <f>IF(AnzahlZahlungen&lt;&gt;"",IF(Tabelle1[[#This Row],[Startsaldo]]&lt;Rate,Tabelle1[[#This Row],[Startsaldo]],Rate),"")</f>
        <v>0</v>
      </c>
      <c r="F430" s="19"/>
      <c r="G430" s="13">
        <f>Tabelle1[[#This Row],[Planmässige Zahlung ]]+Tabelle1[[#This Row],[Sonderzahlung]]</f>
        <v>0</v>
      </c>
      <c r="H430" s="14">
        <f>Tabelle1[[#This Row],[Zahlung gesamt]]-Tabelle1[[#This Row],[Zinsleistung]]</f>
        <v>0</v>
      </c>
      <c r="I430" s="14">
        <f>IF(AnzahlZahlungen&lt;&gt;"",Tabelle1[[#This Row],[Startsaldo]]*Zinssatz/12,"")</f>
        <v>0</v>
      </c>
      <c r="J430" s="13">
        <f>IF(AnzahlZahlungen&lt;&gt;0,Tabelle1[[#This Row],[Startsaldo]]-Tabelle1[[#This Row],[Zahlung gesamt]],"")</f>
        <v>0</v>
      </c>
      <c r="K430" s="14">
        <f>K429+Tabelle1[[#This Row],[Zinsleistung]]</f>
        <v>58389.377411997804</v>
      </c>
    </row>
    <row r="431" spans="2:11" x14ac:dyDescent="0.25">
      <c r="B431" s="11">
        <f t="shared" si="12"/>
        <v>416</v>
      </c>
      <c r="C431" s="12">
        <f>IF(1,Startdatum,"")</f>
        <v>43281</v>
      </c>
      <c r="D431" s="13">
        <f t="shared" si="13"/>
        <v>0</v>
      </c>
      <c r="E431" s="14">
        <f>IF(AnzahlZahlungen&lt;&gt;"",IF(Tabelle1[[#This Row],[Startsaldo]]&lt;Rate,Tabelle1[[#This Row],[Startsaldo]],Rate),"")</f>
        <v>0</v>
      </c>
      <c r="F431" s="19"/>
      <c r="G431" s="13">
        <f>Tabelle1[[#This Row],[Planmässige Zahlung ]]+Tabelle1[[#This Row],[Sonderzahlung]]</f>
        <v>0</v>
      </c>
      <c r="H431" s="14">
        <f>Tabelle1[[#This Row],[Zahlung gesamt]]-Tabelle1[[#This Row],[Zinsleistung]]</f>
        <v>0</v>
      </c>
      <c r="I431" s="14">
        <f>IF(AnzahlZahlungen&lt;&gt;"",Tabelle1[[#This Row],[Startsaldo]]*Zinssatz/12,"")</f>
        <v>0</v>
      </c>
      <c r="J431" s="13">
        <f>IF(AnzahlZahlungen&lt;&gt;0,Tabelle1[[#This Row],[Startsaldo]]-Tabelle1[[#This Row],[Zahlung gesamt]],"")</f>
        <v>0</v>
      </c>
      <c r="K431" s="14">
        <f>K430+Tabelle1[[#This Row],[Zinsleistung]]</f>
        <v>58389.377411997804</v>
      </c>
    </row>
    <row r="432" spans="2:11" x14ac:dyDescent="0.25">
      <c r="B432" s="11">
        <f t="shared" si="12"/>
        <v>417</v>
      </c>
      <c r="C432" s="12">
        <f>IF(1,Startdatum,"")</f>
        <v>43281</v>
      </c>
      <c r="D432" s="13">
        <f t="shared" si="13"/>
        <v>0</v>
      </c>
      <c r="E432" s="14">
        <f>IF(AnzahlZahlungen&lt;&gt;"",IF(Tabelle1[[#This Row],[Startsaldo]]&lt;Rate,Tabelle1[[#This Row],[Startsaldo]],Rate),"")</f>
        <v>0</v>
      </c>
      <c r="F432" s="19"/>
      <c r="G432" s="13">
        <f>Tabelle1[[#This Row],[Planmässige Zahlung ]]+Tabelle1[[#This Row],[Sonderzahlung]]</f>
        <v>0</v>
      </c>
      <c r="H432" s="14">
        <f>Tabelle1[[#This Row],[Zahlung gesamt]]-Tabelle1[[#This Row],[Zinsleistung]]</f>
        <v>0</v>
      </c>
      <c r="I432" s="14">
        <f>IF(AnzahlZahlungen&lt;&gt;"",Tabelle1[[#This Row],[Startsaldo]]*Zinssatz/12,"")</f>
        <v>0</v>
      </c>
      <c r="J432" s="13">
        <f>IF(AnzahlZahlungen&lt;&gt;0,Tabelle1[[#This Row],[Startsaldo]]-Tabelle1[[#This Row],[Zahlung gesamt]],"")</f>
        <v>0</v>
      </c>
      <c r="K432" s="14">
        <f>K431+Tabelle1[[#This Row],[Zinsleistung]]</f>
        <v>58389.377411997804</v>
      </c>
    </row>
    <row r="433" spans="2:11" x14ac:dyDescent="0.25">
      <c r="B433" s="11">
        <f t="shared" si="12"/>
        <v>418</v>
      </c>
      <c r="C433" s="12">
        <f>IF(1,Startdatum,"")</f>
        <v>43281</v>
      </c>
      <c r="D433" s="13">
        <f t="shared" si="13"/>
        <v>0</v>
      </c>
      <c r="E433" s="14">
        <f>IF(AnzahlZahlungen&lt;&gt;"",IF(Tabelle1[[#This Row],[Startsaldo]]&lt;Rate,Tabelle1[[#This Row],[Startsaldo]],Rate),"")</f>
        <v>0</v>
      </c>
      <c r="F433" s="19"/>
      <c r="G433" s="13">
        <f>Tabelle1[[#This Row],[Planmässige Zahlung ]]+Tabelle1[[#This Row],[Sonderzahlung]]</f>
        <v>0</v>
      </c>
      <c r="H433" s="14">
        <f>Tabelle1[[#This Row],[Zahlung gesamt]]-Tabelle1[[#This Row],[Zinsleistung]]</f>
        <v>0</v>
      </c>
      <c r="I433" s="14">
        <f>IF(AnzahlZahlungen&lt;&gt;"",Tabelle1[[#This Row],[Startsaldo]]*Zinssatz/12,"")</f>
        <v>0</v>
      </c>
      <c r="J433" s="13">
        <f>IF(AnzahlZahlungen&lt;&gt;0,Tabelle1[[#This Row],[Startsaldo]]-Tabelle1[[#This Row],[Zahlung gesamt]],"")</f>
        <v>0</v>
      </c>
      <c r="K433" s="14">
        <f>K432+Tabelle1[[#This Row],[Zinsleistung]]</f>
        <v>58389.377411997804</v>
      </c>
    </row>
    <row r="434" spans="2:11" x14ac:dyDescent="0.25">
      <c r="B434" s="11">
        <f t="shared" si="12"/>
        <v>419</v>
      </c>
      <c r="C434" s="12">
        <f>IF(1,Startdatum,"")</f>
        <v>43281</v>
      </c>
      <c r="D434" s="13">
        <f t="shared" si="13"/>
        <v>0</v>
      </c>
      <c r="E434" s="14">
        <f>IF(AnzahlZahlungen&lt;&gt;"",IF(Tabelle1[[#This Row],[Startsaldo]]&lt;Rate,Tabelle1[[#This Row],[Startsaldo]],Rate),"")</f>
        <v>0</v>
      </c>
      <c r="F434" s="19"/>
      <c r="G434" s="13">
        <f>Tabelle1[[#This Row],[Planmässige Zahlung ]]+Tabelle1[[#This Row],[Sonderzahlung]]</f>
        <v>0</v>
      </c>
      <c r="H434" s="14">
        <f>Tabelle1[[#This Row],[Zahlung gesamt]]-Tabelle1[[#This Row],[Zinsleistung]]</f>
        <v>0</v>
      </c>
      <c r="I434" s="14">
        <f>IF(AnzahlZahlungen&lt;&gt;"",Tabelle1[[#This Row],[Startsaldo]]*Zinssatz/12,"")</f>
        <v>0</v>
      </c>
      <c r="J434" s="13">
        <f>IF(AnzahlZahlungen&lt;&gt;0,Tabelle1[[#This Row],[Startsaldo]]-Tabelle1[[#This Row],[Zahlung gesamt]],"")</f>
        <v>0</v>
      </c>
      <c r="K434" s="14">
        <f>K433+Tabelle1[[#This Row],[Zinsleistung]]</f>
        <v>58389.377411997804</v>
      </c>
    </row>
    <row r="435" spans="2:11" x14ac:dyDescent="0.25">
      <c r="B435" s="11">
        <f t="shared" si="12"/>
        <v>420</v>
      </c>
      <c r="C435" s="12">
        <f>IF(1,Startdatum,"")</f>
        <v>43281</v>
      </c>
      <c r="D435" s="13">
        <f t="shared" si="13"/>
        <v>0</v>
      </c>
      <c r="E435" s="14">
        <f>IF(AnzahlZahlungen&lt;&gt;"",IF(Tabelle1[[#This Row],[Startsaldo]]&lt;Rate,Tabelle1[[#This Row],[Startsaldo]],Rate),"")</f>
        <v>0</v>
      </c>
      <c r="F435" s="19"/>
      <c r="G435" s="13">
        <f>Tabelle1[[#This Row],[Planmässige Zahlung ]]+Tabelle1[[#This Row],[Sonderzahlung]]</f>
        <v>0</v>
      </c>
      <c r="H435" s="14">
        <f>Tabelle1[[#This Row],[Zahlung gesamt]]-Tabelle1[[#This Row],[Zinsleistung]]</f>
        <v>0</v>
      </c>
      <c r="I435" s="14">
        <f>IF(AnzahlZahlungen&lt;&gt;"",Tabelle1[[#This Row],[Startsaldo]]*Zinssatz/12,"")</f>
        <v>0</v>
      </c>
      <c r="J435" s="13">
        <f>IF(AnzahlZahlungen&lt;&gt;0,Tabelle1[[#This Row],[Startsaldo]]-Tabelle1[[#This Row],[Zahlung gesamt]],"")</f>
        <v>0</v>
      </c>
      <c r="K435" s="14">
        <f>K434+Tabelle1[[#This Row],[Zinsleistung]]</f>
        <v>58389.377411997804</v>
      </c>
    </row>
    <row r="436" spans="2:11" x14ac:dyDescent="0.25">
      <c r="B436" s="11">
        <f t="shared" si="12"/>
        <v>421</v>
      </c>
      <c r="C436" s="12">
        <f>IF(1,Startdatum,"")</f>
        <v>43281</v>
      </c>
      <c r="D436" s="13">
        <f t="shared" si="13"/>
        <v>0</v>
      </c>
      <c r="E436" s="14">
        <f>IF(AnzahlZahlungen&lt;&gt;"",IF(Tabelle1[[#This Row],[Startsaldo]]&lt;Rate,Tabelle1[[#This Row],[Startsaldo]],Rate),"")</f>
        <v>0</v>
      </c>
      <c r="F436" s="19"/>
      <c r="G436" s="13">
        <f>Tabelle1[[#This Row],[Planmässige Zahlung ]]+Tabelle1[[#This Row],[Sonderzahlung]]</f>
        <v>0</v>
      </c>
      <c r="H436" s="14">
        <f>Tabelle1[[#This Row],[Zahlung gesamt]]-Tabelle1[[#This Row],[Zinsleistung]]</f>
        <v>0</v>
      </c>
      <c r="I436" s="14">
        <f>IF(AnzahlZahlungen&lt;&gt;"",Tabelle1[[#This Row],[Startsaldo]]*Zinssatz/12,"")</f>
        <v>0</v>
      </c>
      <c r="J436" s="13">
        <f>IF(AnzahlZahlungen&lt;&gt;0,Tabelle1[[#This Row],[Startsaldo]]-Tabelle1[[#This Row],[Zahlung gesamt]],"")</f>
        <v>0</v>
      </c>
      <c r="K436" s="14">
        <f>K435+Tabelle1[[#This Row],[Zinsleistung]]</f>
        <v>58389.377411997804</v>
      </c>
    </row>
    <row r="437" spans="2:11" x14ac:dyDescent="0.25">
      <c r="B437" s="11">
        <f t="shared" si="12"/>
        <v>422</v>
      </c>
      <c r="C437" s="12">
        <f>IF(1,Startdatum,"")</f>
        <v>43281</v>
      </c>
      <c r="D437" s="13">
        <f t="shared" si="13"/>
        <v>0</v>
      </c>
      <c r="E437" s="14">
        <f>IF(AnzahlZahlungen&lt;&gt;"",IF(Tabelle1[[#This Row],[Startsaldo]]&lt;Rate,Tabelle1[[#This Row],[Startsaldo]],Rate),"")</f>
        <v>0</v>
      </c>
      <c r="F437" s="19"/>
      <c r="G437" s="13">
        <f>Tabelle1[[#This Row],[Planmässige Zahlung ]]+Tabelle1[[#This Row],[Sonderzahlung]]</f>
        <v>0</v>
      </c>
      <c r="H437" s="14">
        <f>Tabelle1[[#This Row],[Zahlung gesamt]]-Tabelle1[[#This Row],[Zinsleistung]]</f>
        <v>0</v>
      </c>
      <c r="I437" s="14">
        <f>IF(AnzahlZahlungen&lt;&gt;"",Tabelle1[[#This Row],[Startsaldo]]*Zinssatz/12,"")</f>
        <v>0</v>
      </c>
      <c r="J437" s="13">
        <f>IF(AnzahlZahlungen&lt;&gt;0,Tabelle1[[#This Row],[Startsaldo]]-Tabelle1[[#This Row],[Zahlung gesamt]],"")</f>
        <v>0</v>
      </c>
      <c r="K437" s="14">
        <f>K436+Tabelle1[[#This Row],[Zinsleistung]]</f>
        <v>58389.377411997804</v>
      </c>
    </row>
    <row r="438" spans="2:11" x14ac:dyDescent="0.25">
      <c r="B438" s="11">
        <f t="shared" si="12"/>
        <v>423</v>
      </c>
      <c r="C438" s="12">
        <f>IF(1,Startdatum,"")</f>
        <v>43281</v>
      </c>
      <c r="D438" s="13">
        <f t="shared" si="13"/>
        <v>0</v>
      </c>
      <c r="E438" s="14">
        <f>IF(AnzahlZahlungen&lt;&gt;"",IF(Tabelle1[[#This Row],[Startsaldo]]&lt;Rate,Tabelle1[[#This Row],[Startsaldo]],Rate),"")</f>
        <v>0</v>
      </c>
      <c r="F438" s="19"/>
      <c r="G438" s="13">
        <f>Tabelle1[[#This Row],[Planmässige Zahlung ]]+Tabelle1[[#This Row],[Sonderzahlung]]</f>
        <v>0</v>
      </c>
      <c r="H438" s="14">
        <f>Tabelle1[[#This Row],[Zahlung gesamt]]-Tabelle1[[#This Row],[Zinsleistung]]</f>
        <v>0</v>
      </c>
      <c r="I438" s="14">
        <f>IF(AnzahlZahlungen&lt;&gt;"",Tabelle1[[#This Row],[Startsaldo]]*Zinssatz/12,"")</f>
        <v>0</v>
      </c>
      <c r="J438" s="13">
        <f>IF(AnzahlZahlungen&lt;&gt;0,Tabelle1[[#This Row],[Startsaldo]]-Tabelle1[[#This Row],[Zahlung gesamt]],"")</f>
        <v>0</v>
      </c>
      <c r="K438" s="14">
        <f>K437+Tabelle1[[#This Row],[Zinsleistung]]</f>
        <v>58389.377411997804</v>
      </c>
    </row>
    <row r="439" spans="2:11" x14ac:dyDescent="0.25">
      <c r="B439" s="11">
        <f t="shared" si="12"/>
        <v>424</v>
      </c>
      <c r="C439" s="12">
        <f>IF(1,Startdatum,"")</f>
        <v>43281</v>
      </c>
      <c r="D439" s="13">
        <f t="shared" si="13"/>
        <v>0</v>
      </c>
      <c r="E439" s="14">
        <f>IF(AnzahlZahlungen&lt;&gt;"",IF(Tabelle1[[#This Row],[Startsaldo]]&lt;Rate,Tabelle1[[#This Row],[Startsaldo]],Rate),"")</f>
        <v>0</v>
      </c>
      <c r="F439" s="19"/>
      <c r="G439" s="13">
        <f>Tabelle1[[#This Row],[Planmässige Zahlung ]]+Tabelle1[[#This Row],[Sonderzahlung]]</f>
        <v>0</v>
      </c>
      <c r="H439" s="14">
        <f>Tabelle1[[#This Row],[Zahlung gesamt]]-Tabelle1[[#This Row],[Zinsleistung]]</f>
        <v>0</v>
      </c>
      <c r="I439" s="14">
        <f>IF(AnzahlZahlungen&lt;&gt;"",Tabelle1[[#This Row],[Startsaldo]]*Zinssatz/12,"")</f>
        <v>0</v>
      </c>
      <c r="J439" s="13">
        <f>IF(AnzahlZahlungen&lt;&gt;0,Tabelle1[[#This Row],[Startsaldo]]-Tabelle1[[#This Row],[Zahlung gesamt]],"")</f>
        <v>0</v>
      </c>
      <c r="K439" s="14">
        <f>K438+Tabelle1[[#This Row],[Zinsleistung]]</f>
        <v>58389.377411997804</v>
      </c>
    </row>
    <row r="440" spans="2:11" x14ac:dyDescent="0.25">
      <c r="B440" s="11">
        <f t="shared" si="12"/>
        <v>425</v>
      </c>
      <c r="C440" s="12">
        <f>IF(1,Startdatum,"")</f>
        <v>43281</v>
      </c>
      <c r="D440" s="13">
        <f t="shared" si="13"/>
        <v>0</v>
      </c>
      <c r="E440" s="14">
        <f>IF(AnzahlZahlungen&lt;&gt;"",IF(Tabelle1[[#This Row],[Startsaldo]]&lt;Rate,Tabelle1[[#This Row],[Startsaldo]],Rate),"")</f>
        <v>0</v>
      </c>
      <c r="F440" s="19"/>
      <c r="G440" s="13">
        <f>Tabelle1[[#This Row],[Planmässige Zahlung ]]+Tabelle1[[#This Row],[Sonderzahlung]]</f>
        <v>0</v>
      </c>
      <c r="H440" s="14">
        <f>Tabelle1[[#This Row],[Zahlung gesamt]]-Tabelle1[[#This Row],[Zinsleistung]]</f>
        <v>0</v>
      </c>
      <c r="I440" s="14">
        <f>IF(AnzahlZahlungen&lt;&gt;"",Tabelle1[[#This Row],[Startsaldo]]*Zinssatz/12,"")</f>
        <v>0</v>
      </c>
      <c r="J440" s="13">
        <f>IF(AnzahlZahlungen&lt;&gt;0,Tabelle1[[#This Row],[Startsaldo]]-Tabelle1[[#This Row],[Zahlung gesamt]],"")</f>
        <v>0</v>
      </c>
      <c r="K440" s="14">
        <f>K439+Tabelle1[[#This Row],[Zinsleistung]]</f>
        <v>58389.377411997804</v>
      </c>
    </row>
    <row r="441" spans="2:11" x14ac:dyDescent="0.25">
      <c r="B441" s="11">
        <f t="shared" si="12"/>
        <v>426</v>
      </c>
      <c r="C441" s="12">
        <f>IF(1,Startdatum,"")</f>
        <v>43281</v>
      </c>
      <c r="D441" s="13">
        <f t="shared" si="13"/>
        <v>0</v>
      </c>
      <c r="E441" s="14">
        <f>IF(AnzahlZahlungen&lt;&gt;"",IF(Tabelle1[[#This Row],[Startsaldo]]&lt;Rate,Tabelle1[[#This Row],[Startsaldo]],Rate),"")</f>
        <v>0</v>
      </c>
      <c r="F441" s="19"/>
      <c r="G441" s="13">
        <f>Tabelle1[[#This Row],[Planmässige Zahlung ]]+Tabelle1[[#This Row],[Sonderzahlung]]</f>
        <v>0</v>
      </c>
      <c r="H441" s="14">
        <f>Tabelle1[[#This Row],[Zahlung gesamt]]-Tabelle1[[#This Row],[Zinsleistung]]</f>
        <v>0</v>
      </c>
      <c r="I441" s="14">
        <f>IF(AnzahlZahlungen&lt;&gt;"",Tabelle1[[#This Row],[Startsaldo]]*Zinssatz/12,"")</f>
        <v>0</v>
      </c>
      <c r="J441" s="13">
        <f>IF(AnzahlZahlungen&lt;&gt;0,Tabelle1[[#This Row],[Startsaldo]]-Tabelle1[[#This Row],[Zahlung gesamt]],"")</f>
        <v>0</v>
      </c>
      <c r="K441" s="14">
        <f>K440+Tabelle1[[#This Row],[Zinsleistung]]</f>
        <v>58389.377411997804</v>
      </c>
    </row>
    <row r="442" spans="2:11" x14ac:dyDescent="0.25">
      <c r="B442" s="11">
        <f t="shared" si="12"/>
        <v>427</v>
      </c>
      <c r="C442" s="12">
        <f>IF(1,Startdatum,"")</f>
        <v>43281</v>
      </c>
      <c r="D442" s="13">
        <f t="shared" si="13"/>
        <v>0</v>
      </c>
      <c r="E442" s="14">
        <f>IF(AnzahlZahlungen&lt;&gt;"",IF(Tabelle1[[#This Row],[Startsaldo]]&lt;Rate,Tabelle1[[#This Row],[Startsaldo]],Rate),"")</f>
        <v>0</v>
      </c>
      <c r="F442" s="19"/>
      <c r="G442" s="13">
        <f>Tabelle1[[#This Row],[Planmässige Zahlung ]]+Tabelle1[[#This Row],[Sonderzahlung]]</f>
        <v>0</v>
      </c>
      <c r="H442" s="14">
        <f>Tabelle1[[#This Row],[Zahlung gesamt]]-Tabelle1[[#This Row],[Zinsleistung]]</f>
        <v>0</v>
      </c>
      <c r="I442" s="14">
        <f>IF(AnzahlZahlungen&lt;&gt;"",Tabelle1[[#This Row],[Startsaldo]]*Zinssatz/12,"")</f>
        <v>0</v>
      </c>
      <c r="J442" s="13">
        <f>IF(AnzahlZahlungen&lt;&gt;0,Tabelle1[[#This Row],[Startsaldo]]-Tabelle1[[#This Row],[Zahlung gesamt]],"")</f>
        <v>0</v>
      </c>
      <c r="K442" s="14">
        <f>K441+Tabelle1[[#This Row],[Zinsleistung]]</f>
        <v>58389.377411997804</v>
      </c>
    </row>
    <row r="443" spans="2:11" x14ac:dyDescent="0.25">
      <c r="B443" s="11">
        <f t="shared" si="12"/>
        <v>428</v>
      </c>
      <c r="C443" s="12">
        <f>IF(1,Startdatum,"")</f>
        <v>43281</v>
      </c>
      <c r="D443" s="13">
        <f t="shared" si="13"/>
        <v>0</v>
      </c>
      <c r="E443" s="14">
        <f>IF(AnzahlZahlungen&lt;&gt;"",IF(Tabelle1[[#This Row],[Startsaldo]]&lt;Rate,Tabelle1[[#This Row],[Startsaldo]],Rate),"")</f>
        <v>0</v>
      </c>
      <c r="F443" s="19"/>
      <c r="G443" s="13">
        <f>Tabelle1[[#This Row],[Planmässige Zahlung ]]+Tabelle1[[#This Row],[Sonderzahlung]]</f>
        <v>0</v>
      </c>
      <c r="H443" s="14">
        <f>Tabelle1[[#This Row],[Zahlung gesamt]]-Tabelle1[[#This Row],[Zinsleistung]]</f>
        <v>0</v>
      </c>
      <c r="I443" s="14">
        <f>IF(AnzahlZahlungen&lt;&gt;"",Tabelle1[[#This Row],[Startsaldo]]*Zinssatz/12,"")</f>
        <v>0</v>
      </c>
      <c r="J443" s="13">
        <f>IF(AnzahlZahlungen&lt;&gt;0,Tabelle1[[#This Row],[Startsaldo]]-Tabelle1[[#This Row],[Zahlung gesamt]],"")</f>
        <v>0</v>
      </c>
      <c r="K443" s="14">
        <f>K442+Tabelle1[[#This Row],[Zinsleistung]]</f>
        <v>58389.377411997804</v>
      </c>
    </row>
    <row r="444" spans="2:11" x14ac:dyDescent="0.25">
      <c r="B444" s="11">
        <f t="shared" ref="B444:B507" si="14">B443+1</f>
        <v>429</v>
      </c>
      <c r="C444" s="12">
        <f>IF(1,Startdatum,"")</f>
        <v>43281</v>
      </c>
      <c r="D444" s="13">
        <f t="shared" si="13"/>
        <v>0</v>
      </c>
      <c r="E444" s="14">
        <f>IF(AnzahlZahlungen&lt;&gt;"",IF(Tabelle1[[#This Row],[Startsaldo]]&lt;Rate,Tabelle1[[#This Row],[Startsaldo]],Rate),"")</f>
        <v>0</v>
      </c>
      <c r="F444" s="19"/>
      <c r="G444" s="13">
        <f>Tabelle1[[#This Row],[Planmässige Zahlung ]]+Tabelle1[[#This Row],[Sonderzahlung]]</f>
        <v>0</v>
      </c>
      <c r="H444" s="14">
        <f>Tabelle1[[#This Row],[Zahlung gesamt]]-Tabelle1[[#This Row],[Zinsleistung]]</f>
        <v>0</v>
      </c>
      <c r="I444" s="14">
        <f>IF(AnzahlZahlungen&lt;&gt;"",Tabelle1[[#This Row],[Startsaldo]]*Zinssatz/12,"")</f>
        <v>0</v>
      </c>
      <c r="J444" s="13">
        <f>IF(AnzahlZahlungen&lt;&gt;0,Tabelle1[[#This Row],[Startsaldo]]-Tabelle1[[#This Row],[Zahlung gesamt]],"")</f>
        <v>0</v>
      </c>
      <c r="K444" s="14">
        <f>K443+Tabelle1[[#This Row],[Zinsleistung]]</f>
        <v>58389.377411997804</v>
      </c>
    </row>
    <row r="445" spans="2:11" x14ac:dyDescent="0.25">
      <c r="B445" s="11">
        <f t="shared" si="14"/>
        <v>430</v>
      </c>
      <c r="C445" s="12">
        <f>IF(1,Startdatum,"")</f>
        <v>43281</v>
      </c>
      <c r="D445" s="13">
        <f t="shared" si="13"/>
        <v>0</v>
      </c>
      <c r="E445" s="14">
        <f>IF(AnzahlZahlungen&lt;&gt;"",IF(Tabelle1[[#This Row],[Startsaldo]]&lt;Rate,Tabelle1[[#This Row],[Startsaldo]],Rate),"")</f>
        <v>0</v>
      </c>
      <c r="F445" s="19"/>
      <c r="G445" s="13">
        <f>Tabelle1[[#This Row],[Planmässige Zahlung ]]+Tabelle1[[#This Row],[Sonderzahlung]]</f>
        <v>0</v>
      </c>
      <c r="H445" s="14">
        <f>Tabelle1[[#This Row],[Zahlung gesamt]]-Tabelle1[[#This Row],[Zinsleistung]]</f>
        <v>0</v>
      </c>
      <c r="I445" s="14">
        <f>IF(AnzahlZahlungen&lt;&gt;"",Tabelle1[[#This Row],[Startsaldo]]*Zinssatz/12,"")</f>
        <v>0</v>
      </c>
      <c r="J445" s="13">
        <f>IF(AnzahlZahlungen&lt;&gt;0,Tabelle1[[#This Row],[Startsaldo]]-Tabelle1[[#This Row],[Zahlung gesamt]],"")</f>
        <v>0</v>
      </c>
      <c r="K445" s="14">
        <f>K444+Tabelle1[[#This Row],[Zinsleistung]]</f>
        <v>58389.377411997804</v>
      </c>
    </row>
    <row r="446" spans="2:11" x14ac:dyDescent="0.25">
      <c r="B446" s="11">
        <f t="shared" si="14"/>
        <v>431</v>
      </c>
      <c r="C446" s="12">
        <f>IF(1,Startdatum,"")</f>
        <v>43281</v>
      </c>
      <c r="D446" s="13">
        <f t="shared" si="13"/>
        <v>0</v>
      </c>
      <c r="E446" s="14">
        <f>IF(AnzahlZahlungen&lt;&gt;"",IF(Tabelle1[[#This Row],[Startsaldo]]&lt;Rate,Tabelle1[[#This Row],[Startsaldo]],Rate),"")</f>
        <v>0</v>
      </c>
      <c r="F446" s="19"/>
      <c r="G446" s="13">
        <f>Tabelle1[[#This Row],[Planmässige Zahlung ]]+Tabelle1[[#This Row],[Sonderzahlung]]</f>
        <v>0</v>
      </c>
      <c r="H446" s="14">
        <f>Tabelle1[[#This Row],[Zahlung gesamt]]-Tabelle1[[#This Row],[Zinsleistung]]</f>
        <v>0</v>
      </c>
      <c r="I446" s="14">
        <f>IF(AnzahlZahlungen&lt;&gt;"",Tabelle1[[#This Row],[Startsaldo]]*Zinssatz/12,"")</f>
        <v>0</v>
      </c>
      <c r="J446" s="13">
        <f>IF(AnzahlZahlungen&lt;&gt;0,Tabelle1[[#This Row],[Startsaldo]]-Tabelle1[[#This Row],[Zahlung gesamt]],"")</f>
        <v>0</v>
      </c>
      <c r="K446" s="14">
        <f>K445+Tabelle1[[#This Row],[Zinsleistung]]</f>
        <v>58389.377411997804</v>
      </c>
    </row>
    <row r="447" spans="2:11" x14ac:dyDescent="0.25">
      <c r="B447" s="11">
        <f t="shared" si="14"/>
        <v>432</v>
      </c>
      <c r="C447" s="12">
        <f>IF(1,Startdatum,"")</f>
        <v>43281</v>
      </c>
      <c r="D447" s="13">
        <f t="shared" si="13"/>
        <v>0</v>
      </c>
      <c r="E447" s="14">
        <f>IF(AnzahlZahlungen&lt;&gt;"",IF(Tabelle1[[#This Row],[Startsaldo]]&lt;Rate,Tabelle1[[#This Row],[Startsaldo]],Rate),"")</f>
        <v>0</v>
      </c>
      <c r="F447" s="19"/>
      <c r="G447" s="13">
        <f>Tabelle1[[#This Row],[Planmässige Zahlung ]]+Tabelle1[[#This Row],[Sonderzahlung]]</f>
        <v>0</v>
      </c>
      <c r="H447" s="14">
        <f>Tabelle1[[#This Row],[Zahlung gesamt]]-Tabelle1[[#This Row],[Zinsleistung]]</f>
        <v>0</v>
      </c>
      <c r="I447" s="14">
        <f>IF(AnzahlZahlungen&lt;&gt;"",Tabelle1[[#This Row],[Startsaldo]]*Zinssatz/12,"")</f>
        <v>0</v>
      </c>
      <c r="J447" s="13">
        <f>IF(AnzahlZahlungen&lt;&gt;0,Tabelle1[[#This Row],[Startsaldo]]-Tabelle1[[#This Row],[Zahlung gesamt]],"")</f>
        <v>0</v>
      </c>
      <c r="K447" s="14">
        <f>K446+Tabelle1[[#This Row],[Zinsleistung]]</f>
        <v>58389.377411997804</v>
      </c>
    </row>
    <row r="448" spans="2:11" x14ac:dyDescent="0.25">
      <c r="B448" s="11">
        <f t="shared" si="14"/>
        <v>433</v>
      </c>
      <c r="C448" s="12">
        <f>IF(1,Startdatum,"")</f>
        <v>43281</v>
      </c>
      <c r="D448" s="13">
        <f t="shared" si="13"/>
        <v>0</v>
      </c>
      <c r="E448" s="14">
        <f>IF(AnzahlZahlungen&lt;&gt;"",IF(Tabelle1[[#This Row],[Startsaldo]]&lt;Rate,Tabelle1[[#This Row],[Startsaldo]],Rate),"")</f>
        <v>0</v>
      </c>
      <c r="F448" s="19"/>
      <c r="G448" s="13">
        <f>Tabelle1[[#This Row],[Planmässige Zahlung ]]+Tabelle1[[#This Row],[Sonderzahlung]]</f>
        <v>0</v>
      </c>
      <c r="H448" s="14">
        <f>Tabelle1[[#This Row],[Zahlung gesamt]]-Tabelle1[[#This Row],[Zinsleistung]]</f>
        <v>0</v>
      </c>
      <c r="I448" s="14">
        <f>IF(AnzahlZahlungen&lt;&gt;"",Tabelle1[[#This Row],[Startsaldo]]*Zinssatz/12,"")</f>
        <v>0</v>
      </c>
      <c r="J448" s="13">
        <f>IF(AnzahlZahlungen&lt;&gt;0,Tabelle1[[#This Row],[Startsaldo]]-Tabelle1[[#This Row],[Zahlung gesamt]],"")</f>
        <v>0</v>
      </c>
      <c r="K448" s="14">
        <f>K447+Tabelle1[[#This Row],[Zinsleistung]]</f>
        <v>58389.377411997804</v>
      </c>
    </row>
    <row r="449" spans="2:11" x14ac:dyDescent="0.25">
      <c r="B449" s="11">
        <f t="shared" si="14"/>
        <v>434</v>
      </c>
      <c r="C449" s="12">
        <f>IF(1,Startdatum,"")</f>
        <v>43281</v>
      </c>
      <c r="D449" s="13">
        <f t="shared" si="13"/>
        <v>0</v>
      </c>
      <c r="E449" s="14">
        <f>IF(AnzahlZahlungen&lt;&gt;"",IF(Tabelle1[[#This Row],[Startsaldo]]&lt;Rate,Tabelle1[[#This Row],[Startsaldo]],Rate),"")</f>
        <v>0</v>
      </c>
      <c r="F449" s="19"/>
      <c r="G449" s="13">
        <f>Tabelle1[[#This Row],[Planmässige Zahlung ]]+Tabelle1[[#This Row],[Sonderzahlung]]</f>
        <v>0</v>
      </c>
      <c r="H449" s="14">
        <f>Tabelle1[[#This Row],[Zahlung gesamt]]-Tabelle1[[#This Row],[Zinsleistung]]</f>
        <v>0</v>
      </c>
      <c r="I449" s="14">
        <f>IF(AnzahlZahlungen&lt;&gt;"",Tabelle1[[#This Row],[Startsaldo]]*Zinssatz/12,"")</f>
        <v>0</v>
      </c>
      <c r="J449" s="13">
        <f>IF(AnzahlZahlungen&lt;&gt;0,Tabelle1[[#This Row],[Startsaldo]]-Tabelle1[[#This Row],[Zahlung gesamt]],"")</f>
        <v>0</v>
      </c>
      <c r="K449" s="14">
        <f>K448+Tabelle1[[#This Row],[Zinsleistung]]</f>
        <v>58389.377411997804</v>
      </c>
    </row>
    <row r="450" spans="2:11" x14ac:dyDescent="0.25">
      <c r="B450" s="11">
        <f t="shared" si="14"/>
        <v>435</v>
      </c>
      <c r="C450" s="12">
        <f>IF(1,Startdatum,"")</f>
        <v>43281</v>
      </c>
      <c r="D450" s="13">
        <f t="shared" si="13"/>
        <v>0</v>
      </c>
      <c r="E450" s="14">
        <f>IF(AnzahlZahlungen&lt;&gt;"",IF(Tabelle1[[#This Row],[Startsaldo]]&lt;Rate,Tabelle1[[#This Row],[Startsaldo]],Rate),"")</f>
        <v>0</v>
      </c>
      <c r="F450" s="19"/>
      <c r="G450" s="13">
        <f>Tabelle1[[#This Row],[Planmässige Zahlung ]]+Tabelle1[[#This Row],[Sonderzahlung]]</f>
        <v>0</v>
      </c>
      <c r="H450" s="14">
        <f>Tabelle1[[#This Row],[Zahlung gesamt]]-Tabelle1[[#This Row],[Zinsleistung]]</f>
        <v>0</v>
      </c>
      <c r="I450" s="14">
        <f>IF(AnzahlZahlungen&lt;&gt;"",Tabelle1[[#This Row],[Startsaldo]]*Zinssatz/12,"")</f>
        <v>0</v>
      </c>
      <c r="J450" s="13">
        <f>IF(AnzahlZahlungen&lt;&gt;0,Tabelle1[[#This Row],[Startsaldo]]-Tabelle1[[#This Row],[Zahlung gesamt]],"")</f>
        <v>0</v>
      </c>
      <c r="K450" s="14">
        <f>K449+Tabelle1[[#This Row],[Zinsleistung]]</f>
        <v>58389.377411997804</v>
      </c>
    </row>
    <row r="451" spans="2:11" x14ac:dyDescent="0.25">
      <c r="B451" s="11">
        <f t="shared" si="14"/>
        <v>436</v>
      </c>
      <c r="C451" s="12">
        <f>IF(1,Startdatum,"")</f>
        <v>43281</v>
      </c>
      <c r="D451" s="13">
        <f t="shared" si="13"/>
        <v>0</v>
      </c>
      <c r="E451" s="14">
        <f>IF(AnzahlZahlungen&lt;&gt;"",IF(Tabelle1[[#This Row],[Startsaldo]]&lt;Rate,Tabelle1[[#This Row],[Startsaldo]],Rate),"")</f>
        <v>0</v>
      </c>
      <c r="F451" s="19"/>
      <c r="G451" s="13">
        <f>Tabelle1[[#This Row],[Planmässige Zahlung ]]+Tabelle1[[#This Row],[Sonderzahlung]]</f>
        <v>0</v>
      </c>
      <c r="H451" s="14">
        <f>Tabelle1[[#This Row],[Zahlung gesamt]]-Tabelle1[[#This Row],[Zinsleistung]]</f>
        <v>0</v>
      </c>
      <c r="I451" s="14">
        <f>IF(AnzahlZahlungen&lt;&gt;"",Tabelle1[[#This Row],[Startsaldo]]*Zinssatz/12,"")</f>
        <v>0</v>
      </c>
      <c r="J451" s="13">
        <f>IF(AnzahlZahlungen&lt;&gt;0,Tabelle1[[#This Row],[Startsaldo]]-Tabelle1[[#This Row],[Zahlung gesamt]],"")</f>
        <v>0</v>
      </c>
      <c r="K451" s="14">
        <f>K450+Tabelle1[[#This Row],[Zinsleistung]]</f>
        <v>58389.377411997804</v>
      </c>
    </row>
    <row r="452" spans="2:11" x14ac:dyDescent="0.25">
      <c r="B452" s="11">
        <f t="shared" si="14"/>
        <v>437</v>
      </c>
      <c r="C452" s="12">
        <f>IF(1,Startdatum,"")</f>
        <v>43281</v>
      </c>
      <c r="D452" s="13">
        <f t="shared" si="13"/>
        <v>0</v>
      </c>
      <c r="E452" s="14">
        <f>IF(AnzahlZahlungen&lt;&gt;"",IF(Tabelle1[[#This Row],[Startsaldo]]&lt;Rate,Tabelle1[[#This Row],[Startsaldo]],Rate),"")</f>
        <v>0</v>
      </c>
      <c r="F452" s="19"/>
      <c r="G452" s="13">
        <f>Tabelle1[[#This Row],[Planmässige Zahlung ]]+Tabelle1[[#This Row],[Sonderzahlung]]</f>
        <v>0</v>
      </c>
      <c r="H452" s="14">
        <f>Tabelle1[[#This Row],[Zahlung gesamt]]-Tabelle1[[#This Row],[Zinsleistung]]</f>
        <v>0</v>
      </c>
      <c r="I452" s="14">
        <f>IF(AnzahlZahlungen&lt;&gt;"",Tabelle1[[#This Row],[Startsaldo]]*Zinssatz/12,"")</f>
        <v>0</v>
      </c>
      <c r="J452" s="13">
        <f>IF(AnzahlZahlungen&lt;&gt;0,Tabelle1[[#This Row],[Startsaldo]]-Tabelle1[[#This Row],[Zahlung gesamt]],"")</f>
        <v>0</v>
      </c>
      <c r="K452" s="14">
        <f>K451+Tabelle1[[#This Row],[Zinsleistung]]</f>
        <v>58389.377411997804</v>
      </c>
    </row>
    <row r="453" spans="2:11" x14ac:dyDescent="0.25">
      <c r="B453" s="11">
        <f t="shared" si="14"/>
        <v>438</v>
      </c>
      <c r="C453" s="12">
        <f>IF(1,Startdatum,"")</f>
        <v>43281</v>
      </c>
      <c r="D453" s="13">
        <f t="shared" si="13"/>
        <v>0</v>
      </c>
      <c r="E453" s="14">
        <f>IF(AnzahlZahlungen&lt;&gt;"",IF(Tabelle1[[#This Row],[Startsaldo]]&lt;Rate,Tabelle1[[#This Row],[Startsaldo]],Rate),"")</f>
        <v>0</v>
      </c>
      <c r="F453" s="19"/>
      <c r="G453" s="13">
        <f>Tabelle1[[#This Row],[Planmässige Zahlung ]]+Tabelle1[[#This Row],[Sonderzahlung]]</f>
        <v>0</v>
      </c>
      <c r="H453" s="14">
        <f>Tabelle1[[#This Row],[Zahlung gesamt]]-Tabelle1[[#This Row],[Zinsleistung]]</f>
        <v>0</v>
      </c>
      <c r="I453" s="14">
        <f>IF(AnzahlZahlungen&lt;&gt;"",Tabelle1[[#This Row],[Startsaldo]]*Zinssatz/12,"")</f>
        <v>0</v>
      </c>
      <c r="J453" s="13">
        <f>IF(AnzahlZahlungen&lt;&gt;0,Tabelle1[[#This Row],[Startsaldo]]-Tabelle1[[#This Row],[Zahlung gesamt]],"")</f>
        <v>0</v>
      </c>
      <c r="K453" s="14">
        <f>K452+Tabelle1[[#This Row],[Zinsleistung]]</f>
        <v>58389.377411997804</v>
      </c>
    </row>
    <row r="454" spans="2:11" x14ac:dyDescent="0.25">
      <c r="B454" s="11">
        <f t="shared" si="14"/>
        <v>439</v>
      </c>
      <c r="C454" s="12">
        <f>IF(1,Startdatum,"")</f>
        <v>43281</v>
      </c>
      <c r="D454" s="13">
        <f t="shared" si="13"/>
        <v>0</v>
      </c>
      <c r="E454" s="14">
        <f>IF(AnzahlZahlungen&lt;&gt;"",IF(Tabelle1[[#This Row],[Startsaldo]]&lt;Rate,Tabelle1[[#This Row],[Startsaldo]],Rate),"")</f>
        <v>0</v>
      </c>
      <c r="F454" s="19"/>
      <c r="G454" s="13">
        <f>Tabelle1[[#This Row],[Planmässige Zahlung ]]+Tabelle1[[#This Row],[Sonderzahlung]]</f>
        <v>0</v>
      </c>
      <c r="H454" s="14">
        <f>Tabelle1[[#This Row],[Zahlung gesamt]]-Tabelle1[[#This Row],[Zinsleistung]]</f>
        <v>0</v>
      </c>
      <c r="I454" s="14">
        <f>IF(AnzahlZahlungen&lt;&gt;"",Tabelle1[[#This Row],[Startsaldo]]*Zinssatz/12,"")</f>
        <v>0</v>
      </c>
      <c r="J454" s="13">
        <f>IF(AnzahlZahlungen&lt;&gt;0,Tabelle1[[#This Row],[Startsaldo]]-Tabelle1[[#This Row],[Zahlung gesamt]],"")</f>
        <v>0</v>
      </c>
      <c r="K454" s="14">
        <f>K453+Tabelle1[[#This Row],[Zinsleistung]]</f>
        <v>58389.377411997804</v>
      </c>
    </row>
    <row r="455" spans="2:11" x14ac:dyDescent="0.25">
      <c r="B455" s="11">
        <f t="shared" si="14"/>
        <v>440</v>
      </c>
      <c r="C455" s="12">
        <f>IF(1,Startdatum,"")</f>
        <v>43281</v>
      </c>
      <c r="D455" s="13">
        <f t="shared" si="13"/>
        <v>0</v>
      </c>
      <c r="E455" s="14">
        <f>IF(AnzahlZahlungen&lt;&gt;"",IF(Tabelle1[[#This Row],[Startsaldo]]&lt;Rate,Tabelle1[[#This Row],[Startsaldo]],Rate),"")</f>
        <v>0</v>
      </c>
      <c r="F455" s="19"/>
      <c r="G455" s="13">
        <f>Tabelle1[[#This Row],[Planmässige Zahlung ]]+Tabelle1[[#This Row],[Sonderzahlung]]</f>
        <v>0</v>
      </c>
      <c r="H455" s="14">
        <f>Tabelle1[[#This Row],[Zahlung gesamt]]-Tabelle1[[#This Row],[Zinsleistung]]</f>
        <v>0</v>
      </c>
      <c r="I455" s="14">
        <f>IF(AnzahlZahlungen&lt;&gt;"",Tabelle1[[#This Row],[Startsaldo]]*Zinssatz/12,"")</f>
        <v>0</v>
      </c>
      <c r="J455" s="13">
        <f>IF(AnzahlZahlungen&lt;&gt;0,Tabelle1[[#This Row],[Startsaldo]]-Tabelle1[[#This Row],[Zahlung gesamt]],"")</f>
        <v>0</v>
      </c>
      <c r="K455" s="14">
        <f>K454+Tabelle1[[#This Row],[Zinsleistung]]</f>
        <v>58389.377411997804</v>
      </c>
    </row>
    <row r="456" spans="2:11" x14ac:dyDescent="0.25">
      <c r="B456" s="11">
        <f t="shared" si="14"/>
        <v>441</v>
      </c>
      <c r="C456" s="12">
        <f>IF(1,Startdatum,"")</f>
        <v>43281</v>
      </c>
      <c r="D456" s="13">
        <f t="shared" si="13"/>
        <v>0</v>
      </c>
      <c r="E456" s="14">
        <f>IF(AnzahlZahlungen&lt;&gt;"",IF(Tabelle1[[#This Row],[Startsaldo]]&lt;Rate,Tabelle1[[#This Row],[Startsaldo]],Rate),"")</f>
        <v>0</v>
      </c>
      <c r="F456" s="19"/>
      <c r="G456" s="13">
        <f>Tabelle1[[#This Row],[Planmässige Zahlung ]]+Tabelle1[[#This Row],[Sonderzahlung]]</f>
        <v>0</v>
      </c>
      <c r="H456" s="14">
        <f>Tabelle1[[#This Row],[Zahlung gesamt]]-Tabelle1[[#This Row],[Zinsleistung]]</f>
        <v>0</v>
      </c>
      <c r="I456" s="14">
        <f>IF(AnzahlZahlungen&lt;&gt;"",Tabelle1[[#This Row],[Startsaldo]]*Zinssatz/12,"")</f>
        <v>0</v>
      </c>
      <c r="J456" s="13">
        <f>IF(AnzahlZahlungen&lt;&gt;0,Tabelle1[[#This Row],[Startsaldo]]-Tabelle1[[#This Row],[Zahlung gesamt]],"")</f>
        <v>0</v>
      </c>
      <c r="K456" s="14">
        <f>K455+Tabelle1[[#This Row],[Zinsleistung]]</f>
        <v>58389.377411997804</v>
      </c>
    </row>
    <row r="457" spans="2:11" x14ac:dyDescent="0.25">
      <c r="B457" s="11">
        <f t="shared" si="14"/>
        <v>442</v>
      </c>
      <c r="C457" s="12">
        <f>IF(1,Startdatum,"")</f>
        <v>43281</v>
      </c>
      <c r="D457" s="13">
        <f t="shared" si="13"/>
        <v>0</v>
      </c>
      <c r="E457" s="14">
        <f>IF(AnzahlZahlungen&lt;&gt;"",IF(Tabelle1[[#This Row],[Startsaldo]]&lt;Rate,Tabelle1[[#This Row],[Startsaldo]],Rate),"")</f>
        <v>0</v>
      </c>
      <c r="F457" s="19"/>
      <c r="G457" s="13">
        <f>Tabelle1[[#This Row],[Planmässige Zahlung ]]+Tabelle1[[#This Row],[Sonderzahlung]]</f>
        <v>0</v>
      </c>
      <c r="H457" s="14">
        <f>Tabelle1[[#This Row],[Zahlung gesamt]]-Tabelle1[[#This Row],[Zinsleistung]]</f>
        <v>0</v>
      </c>
      <c r="I457" s="14">
        <f>IF(AnzahlZahlungen&lt;&gt;"",Tabelle1[[#This Row],[Startsaldo]]*Zinssatz/12,"")</f>
        <v>0</v>
      </c>
      <c r="J457" s="13">
        <f>IF(AnzahlZahlungen&lt;&gt;0,Tabelle1[[#This Row],[Startsaldo]]-Tabelle1[[#This Row],[Zahlung gesamt]],"")</f>
        <v>0</v>
      </c>
      <c r="K457" s="14">
        <f>K456+Tabelle1[[#This Row],[Zinsleistung]]</f>
        <v>58389.377411997804</v>
      </c>
    </row>
    <row r="458" spans="2:11" x14ac:dyDescent="0.25">
      <c r="B458" s="11">
        <f t="shared" si="14"/>
        <v>443</v>
      </c>
      <c r="C458" s="12">
        <f>IF(1,Startdatum,"")</f>
        <v>43281</v>
      </c>
      <c r="D458" s="13">
        <f t="shared" si="13"/>
        <v>0</v>
      </c>
      <c r="E458" s="14">
        <f>IF(AnzahlZahlungen&lt;&gt;"",IF(Tabelle1[[#This Row],[Startsaldo]]&lt;Rate,Tabelle1[[#This Row],[Startsaldo]],Rate),"")</f>
        <v>0</v>
      </c>
      <c r="F458" s="19"/>
      <c r="G458" s="13">
        <f>Tabelle1[[#This Row],[Planmässige Zahlung ]]+Tabelle1[[#This Row],[Sonderzahlung]]</f>
        <v>0</v>
      </c>
      <c r="H458" s="14">
        <f>Tabelle1[[#This Row],[Zahlung gesamt]]-Tabelle1[[#This Row],[Zinsleistung]]</f>
        <v>0</v>
      </c>
      <c r="I458" s="14">
        <f>IF(AnzahlZahlungen&lt;&gt;"",Tabelle1[[#This Row],[Startsaldo]]*Zinssatz/12,"")</f>
        <v>0</v>
      </c>
      <c r="J458" s="13">
        <f>IF(AnzahlZahlungen&lt;&gt;0,Tabelle1[[#This Row],[Startsaldo]]-Tabelle1[[#This Row],[Zahlung gesamt]],"")</f>
        <v>0</v>
      </c>
      <c r="K458" s="14">
        <f>K457+Tabelle1[[#This Row],[Zinsleistung]]</f>
        <v>58389.377411997804</v>
      </c>
    </row>
    <row r="459" spans="2:11" x14ac:dyDescent="0.25">
      <c r="B459" s="11">
        <f t="shared" si="14"/>
        <v>444</v>
      </c>
      <c r="C459" s="12">
        <f>IF(1,Startdatum,"")</f>
        <v>43281</v>
      </c>
      <c r="D459" s="13">
        <f t="shared" si="13"/>
        <v>0</v>
      </c>
      <c r="E459" s="14">
        <f>IF(AnzahlZahlungen&lt;&gt;"",IF(Tabelle1[[#This Row],[Startsaldo]]&lt;Rate,Tabelle1[[#This Row],[Startsaldo]],Rate),"")</f>
        <v>0</v>
      </c>
      <c r="F459" s="19"/>
      <c r="G459" s="13">
        <f>Tabelle1[[#This Row],[Planmässige Zahlung ]]+Tabelle1[[#This Row],[Sonderzahlung]]</f>
        <v>0</v>
      </c>
      <c r="H459" s="14">
        <f>Tabelle1[[#This Row],[Zahlung gesamt]]-Tabelle1[[#This Row],[Zinsleistung]]</f>
        <v>0</v>
      </c>
      <c r="I459" s="14">
        <f>IF(AnzahlZahlungen&lt;&gt;"",Tabelle1[[#This Row],[Startsaldo]]*Zinssatz/12,"")</f>
        <v>0</v>
      </c>
      <c r="J459" s="13">
        <f>IF(AnzahlZahlungen&lt;&gt;0,Tabelle1[[#This Row],[Startsaldo]]-Tabelle1[[#This Row],[Zahlung gesamt]],"")</f>
        <v>0</v>
      </c>
      <c r="K459" s="14">
        <f>K458+Tabelle1[[#This Row],[Zinsleistung]]</f>
        <v>58389.377411997804</v>
      </c>
    </row>
    <row r="460" spans="2:11" x14ac:dyDescent="0.25">
      <c r="B460" s="11">
        <f t="shared" si="14"/>
        <v>445</v>
      </c>
      <c r="C460" s="12">
        <f>IF(1,Startdatum,"")</f>
        <v>43281</v>
      </c>
      <c r="D460" s="13">
        <f t="shared" si="13"/>
        <v>0</v>
      </c>
      <c r="E460" s="14">
        <f>IF(AnzahlZahlungen&lt;&gt;"",IF(Tabelle1[[#This Row],[Startsaldo]]&lt;Rate,Tabelle1[[#This Row],[Startsaldo]],Rate),"")</f>
        <v>0</v>
      </c>
      <c r="F460" s="19"/>
      <c r="G460" s="13">
        <f>Tabelle1[[#This Row],[Planmässige Zahlung ]]+Tabelle1[[#This Row],[Sonderzahlung]]</f>
        <v>0</v>
      </c>
      <c r="H460" s="14">
        <f>Tabelle1[[#This Row],[Zahlung gesamt]]-Tabelle1[[#This Row],[Zinsleistung]]</f>
        <v>0</v>
      </c>
      <c r="I460" s="14">
        <f>IF(AnzahlZahlungen&lt;&gt;"",Tabelle1[[#This Row],[Startsaldo]]*Zinssatz/12,"")</f>
        <v>0</v>
      </c>
      <c r="J460" s="13">
        <f>IF(AnzahlZahlungen&lt;&gt;0,Tabelle1[[#This Row],[Startsaldo]]-Tabelle1[[#This Row],[Zahlung gesamt]],"")</f>
        <v>0</v>
      </c>
      <c r="K460" s="14">
        <f>K459+Tabelle1[[#This Row],[Zinsleistung]]</f>
        <v>58389.377411997804</v>
      </c>
    </row>
    <row r="461" spans="2:11" x14ac:dyDescent="0.25">
      <c r="B461" s="11">
        <f t="shared" si="14"/>
        <v>446</v>
      </c>
      <c r="C461" s="12">
        <f>IF(1,Startdatum,"")</f>
        <v>43281</v>
      </c>
      <c r="D461" s="13">
        <f t="shared" si="13"/>
        <v>0</v>
      </c>
      <c r="E461" s="14">
        <f>IF(AnzahlZahlungen&lt;&gt;"",IF(Tabelle1[[#This Row],[Startsaldo]]&lt;Rate,Tabelle1[[#This Row],[Startsaldo]],Rate),"")</f>
        <v>0</v>
      </c>
      <c r="F461" s="19"/>
      <c r="G461" s="13">
        <f>Tabelle1[[#This Row],[Planmässige Zahlung ]]+Tabelle1[[#This Row],[Sonderzahlung]]</f>
        <v>0</v>
      </c>
      <c r="H461" s="14">
        <f>Tabelle1[[#This Row],[Zahlung gesamt]]-Tabelle1[[#This Row],[Zinsleistung]]</f>
        <v>0</v>
      </c>
      <c r="I461" s="14">
        <f>IF(AnzahlZahlungen&lt;&gt;"",Tabelle1[[#This Row],[Startsaldo]]*Zinssatz/12,"")</f>
        <v>0</v>
      </c>
      <c r="J461" s="13">
        <f>IF(AnzahlZahlungen&lt;&gt;0,Tabelle1[[#This Row],[Startsaldo]]-Tabelle1[[#This Row],[Zahlung gesamt]],"")</f>
        <v>0</v>
      </c>
      <c r="K461" s="14">
        <f>K460+Tabelle1[[#This Row],[Zinsleistung]]</f>
        <v>58389.377411997804</v>
      </c>
    </row>
    <row r="462" spans="2:11" x14ac:dyDescent="0.25">
      <c r="B462" s="11">
        <f t="shared" si="14"/>
        <v>447</v>
      </c>
      <c r="C462" s="12">
        <f>IF(1,Startdatum,"")</f>
        <v>43281</v>
      </c>
      <c r="D462" s="13">
        <f t="shared" si="13"/>
        <v>0</v>
      </c>
      <c r="E462" s="14">
        <f>IF(AnzahlZahlungen&lt;&gt;"",IF(Tabelle1[[#This Row],[Startsaldo]]&lt;Rate,Tabelle1[[#This Row],[Startsaldo]],Rate),"")</f>
        <v>0</v>
      </c>
      <c r="F462" s="19"/>
      <c r="G462" s="13">
        <f>Tabelle1[[#This Row],[Planmässige Zahlung ]]+Tabelle1[[#This Row],[Sonderzahlung]]</f>
        <v>0</v>
      </c>
      <c r="H462" s="14">
        <f>Tabelle1[[#This Row],[Zahlung gesamt]]-Tabelle1[[#This Row],[Zinsleistung]]</f>
        <v>0</v>
      </c>
      <c r="I462" s="14">
        <f>IF(AnzahlZahlungen&lt;&gt;"",Tabelle1[[#This Row],[Startsaldo]]*Zinssatz/12,"")</f>
        <v>0</v>
      </c>
      <c r="J462" s="13">
        <f>IF(AnzahlZahlungen&lt;&gt;0,Tabelle1[[#This Row],[Startsaldo]]-Tabelle1[[#This Row],[Zahlung gesamt]],"")</f>
        <v>0</v>
      </c>
      <c r="K462" s="14">
        <f>K461+Tabelle1[[#This Row],[Zinsleistung]]</f>
        <v>58389.377411997804</v>
      </c>
    </row>
    <row r="463" spans="2:11" x14ac:dyDescent="0.25">
      <c r="B463" s="11">
        <f t="shared" si="14"/>
        <v>448</v>
      </c>
      <c r="C463" s="12">
        <f>IF(1,Startdatum,"")</f>
        <v>43281</v>
      </c>
      <c r="D463" s="13">
        <f t="shared" si="13"/>
        <v>0</v>
      </c>
      <c r="E463" s="14">
        <f>IF(AnzahlZahlungen&lt;&gt;"",IF(Tabelle1[[#This Row],[Startsaldo]]&lt;Rate,Tabelle1[[#This Row],[Startsaldo]],Rate),"")</f>
        <v>0</v>
      </c>
      <c r="F463" s="19"/>
      <c r="G463" s="13">
        <f>Tabelle1[[#This Row],[Planmässige Zahlung ]]+Tabelle1[[#This Row],[Sonderzahlung]]</f>
        <v>0</v>
      </c>
      <c r="H463" s="14">
        <f>Tabelle1[[#This Row],[Zahlung gesamt]]-Tabelle1[[#This Row],[Zinsleistung]]</f>
        <v>0</v>
      </c>
      <c r="I463" s="14">
        <f>IF(AnzahlZahlungen&lt;&gt;"",Tabelle1[[#This Row],[Startsaldo]]*Zinssatz/12,"")</f>
        <v>0</v>
      </c>
      <c r="J463" s="13">
        <f>IF(AnzahlZahlungen&lt;&gt;0,Tabelle1[[#This Row],[Startsaldo]]-Tabelle1[[#This Row],[Zahlung gesamt]],"")</f>
        <v>0</v>
      </c>
      <c r="K463" s="14">
        <f>K462+Tabelle1[[#This Row],[Zinsleistung]]</f>
        <v>58389.377411997804</v>
      </c>
    </row>
    <row r="464" spans="2:11" x14ac:dyDescent="0.25">
      <c r="B464" s="11">
        <f t="shared" si="14"/>
        <v>449</v>
      </c>
      <c r="C464" s="12">
        <f>IF(1,Startdatum,"")</f>
        <v>43281</v>
      </c>
      <c r="D464" s="13">
        <f t="shared" si="13"/>
        <v>0</v>
      </c>
      <c r="E464" s="14">
        <f>IF(AnzahlZahlungen&lt;&gt;"",IF(Tabelle1[[#This Row],[Startsaldo]]&lt;Rate,Tabelle1[[#This Row],[Startsaldo]],Rate),"")</f>
        <v>0</v>
      </c>
      <c r="F464" s="19"/>
      <c r="G464" s="13">
        <f>Tabelle1[[#This Row],[Planmässige Zahlung ]]+Tabelle1[[#This Row],[Sonderzahlung]]</f>
        <v>0</v>
      </c>
      <c r="H464" s="14">
        <f>Tabelle1[[#This Row],[Zahlung gesamt]]-Tabelle1[[#This Row],[Zinsleistung]]</f>
        <v>0</v>
      </c>
      <c r="I464" s="14">
        <f>IF(AnzahlZahlungen&lt;&gt;"",Tabelle1[[#This Row],[Startsaldo]]*Zinssatz/12,"")</f>
        <v>0</v>
      </c>
      <c r="J464" s="13">
        <f>IF(AnzahlZahlungen&lt;&gt;0,Tabelle1[[#This Row],[Startsaldo]]-Tabelle1[[#This Row],[Zahlung gesamt]],"")</f>
        <v>0</v>
      </c>
      <c r="K464" s="14">
        <f>K463+Tabelle1[[#This Row],[Zinsleistung]]</f>
        <v>58389.377411997804</v>
      </c>
    </row>
    <row r="465" spans="2:11" x14ac:dyDescent="0.25">
      <c r="B465" s="11">
        <f t="shared" si="14"/>
        <v>450</v>
      </c>
      <c r="C465" s="12">
        <f>IF(1,Startdatum,"")</f>
        <v>43281</v>
      </c>
      <c r="D465" s="13">
        <f t="shared" ref="D465:D528" si="15">IF(D464&lt;=Rate,0,D464-H464)</f>
        <v>0</v>
      </c>
      <c r="E465" s="14">
        <f>IF(AnzahlZahlungen&lt;&gt;"",IF(Tabelle1[[#This Row],[Startsaldo]]&lt;Rate,Tabelle1[[#This Row],[Startsaldo]],Rate),"")</f>
        <v>0</v>
      </c>
      <c r="F465" s="19"/>
      <c r="G465" s="13">
        <f>Tabelle1[[#This Row],[Planmässige Zahlung ]]+Tabelle1[[#This Row],[Sonderzahlung]]</f>
        <v>0</v>
      </c>
      <c r="H465" s="14">
        <f>Tabelle1[[#This Row],[Zahlung gesamt]]-Tabelle1[[#This Row],[Zinsleistung]]</f>
        <v>0</v>
      </c>
      <c r="I465" s="14">
        <f>IF(AnzahlZahlungen&lt;&gt;"",Tabelle1[[#This Row],[Startsaldo]]*Zinssatz/12,"")</f>
        <v>0</v>
      </c>
      <c r="J465" s="13">
        <f>IF(AnzahlZahlungen&lt;&gt;0,Tabelle1[[#This Row],[Startsaldo]]-Tabelle1[[#This Row],[Zahlung gesamt]],"")</f>
        <v>0</v>
      </c>
      <c r="K465" s="14">
        <f>K464+Tabelle1[[#This Row],[Zinsleistung]]</f>
        <v>58389.377411997804</v>
      </c>
    </row>
    <row r="466" spans="2:11" x14ac:dyDescent="0.25">
      <c r="B466" s="11">
        <f t="shared" si="14"/>
        <v>451</v>
      </c>
      <c r="C466" s="12">
        <f>IF(1,Startdatum,"")</f>
        <v>43281</v>
      </c>
      <c r="D466" s="13">
        <f t="shared" si="15"/>
        <v>0</v>
      </c>
      <c r="E466" s="14">
        <f>IF(AnzahlZahlungen&lt;&gt;"",IF(Tabelle1[[#This Row],[Startsaldo]]&lt;Rate,Tabelle1[[#This Row],[Startsaldo]],Rate),"")</f>
        <v>0</v>
      </c>
      <c r="F466" s="19"/>
      <c r="G466" s="13">
        <f>Tabelle1[[#This Row],[Planmässige Zahlung ]]+Tabelle1[[#This Row],[Sonderzahlung]]</f>
        <v>0</v>
      </c>
      <c r="H466" s="14">
        <f>Tabelle1[[#This Row],[Zahlung gesamt]]-Tabelle1[[#This Row],[Zinsleistung]]</f>
        <v>0</v>
      </c>
      <c r="I466" s="14">
        <f>IF(AnzahlZahlungen&lt;&gt;"",Tabelle1[[#This Row],[Startsaldo]]*Zinssatz/12,"")</f>
        <v>0</v>
      </c>
      <c r="J466" s="13">
        <f>IF(AnzahlZahlungen&lt;&gt;0,Tabelle1[[#This Row],[Startsaldo]]-Tabelle1[[#This Row],[Zahlung gesamt]],"")</f>
        <v>0</v>
      </c>
      <c r="K466" s="14">
        <f>K465+Tabelle1[[#This Row],[Zinsleistung]]</f>
        <v>58389.377411997804</v>
      </c>
    </row>
    <row r="467" spans="2:11" x14ac:dyDescent="0.25">
      <c r="B467" s="11">
        <f t="shared" si="14"/>
        <v>452</v>
      </c>
      <c r="C467" s="12">
        <f>IF(1,Startdatum,"")</f>
        <v>43281</v>
      </c>
      <c r="D467" s="13">
        <f t="shared" si="15"/>
        <v>0</v>
      </c>
      <c r="E467" s="14">
        <f>IF(AnzahlZahlungen&lt;&gt;"",IF(Tabelle1[[#This Row],[Startsaldo]]&lt;Rate,Tabelle1[[#This Row],[Startsaldo]],Rate),"")</f>
        <v>0</v>
      </c>
      <c r="F467" s="19"/>
      <c r="G467" s="13">
        <f>Tabelle1[[#This Row],[Planmässige Zahlung ]]+Tabelle1[[#This Row],[Sonderzahlung]]</f>
        <v>0</v>
      </c>
      <c r="H467" s="14">
        <f>Tabelle1[[#This Row],[Zahlung gesamt]]-Tabelle1[[#This Row],[Zinsleistung]]</f>
        <v>0</v>
      </c>
      <c r="I467" s="14">
        <f>IF(AnzahlZahlungen&lt;&gt;"",Tabelle1[[#This Row],[Startsaldo]]*Zinssatz/12,"")</f>
        <v>0</v>
      </c>
      <c r="J467" s="13">
        <f>IF(AnzahlZahlungen&lt;&gt;0,Tabelle1[[#This Row],[Startsaldo]]-Tabelle1[[#This Row],[Zahlung gesamt]],"")</f>
        <v>0</v>
      </c>
      <c r="K467" s="14">
        <f>K466+Tabelle1[[#This Row],[Zinsleistung]]</f>
        <v>58389.377411997804</v>
      </c>
    </row>
    <row r="468" spans="2:11" x14ac:dyDescent="0.25">
      <c r="B468" s="11">
        <f t="shared" si="14"/>
        <v>453</v>
      </c>
      <c r="C468" s="12">
        <f>IF(1,Startdatum,"")</f>
        <v>43281</v>
      </c>
      <c r="D468" s="13">
        <f t="shared" si="15"/>
        <v>0</v>
      </c>
      <c r="E468" s="14">
        <f>IF(AnzahlZahlungen&lt;&gt;"",IF(Tabelle1[[#This Row],[Startsaldo]]&lt;Rate,Tabelle1[[#This Row],[Startsaldo]],Rate),"")</f>
        <v>0</v>
      </c>
      <c r="F468" s="19"/>
      <c r="G468" s="13">
        <f>Tabelle1[[#This Row],[Planmässige Zahlung ]]+Tabelle1[[#This Row],[Sonderzahlung]]</f>
        <v>0</v>
      </c>
      <c r="H468" s="14">
        <f>Tabelle1[[#This Row],[Zahlung gesamt]]-Tabelle1[[#This Row],[Zinsleistung]]</f>
        <v>0</v>
      </c>
      <c r="I468" s="14">
        <f>IF(AnzahlZahlungen&lt;&gt;"",Tabelle1[[#This Row],[Startsaldo]]*Zinssatz/12,"")</f>
        <v>0</v>
      </c>
      <c r="J468" s="13">
        <f>IF(AnzahlZahlungen&lt;&gt;0,Tabelle1[[#This Row],[Startsaldo]]-Tabelle1[[#This Row],[Zahlung gesamt]],"")</f>
        <v>0</v>
      </c>
      <c r="K468" s="14">
        <f>K467+Tabelle1[[#This Row],[Zinsleistung]]</f>
        <v>58389.377411997804</v>
      </c>
    </row>
    <row r="469" spans="2:11" x14ac:dyDescent="0.25">
      <c r="B469" s="11">
        <f t="shared" si="14"/>
        <v>454</v>
      </c>
      <c r="C469" s="12">
        <f>IF(1,Startdatum,"")</f>
        <v>43281</v>
      </c>
      <c r="D469" s="13">
        <f t="shared" si="15"/>
        <v>0</v>
      </c>
      <c r="E469" s="14">
        <f>IF(AnzahlZahlungen&lt;&gt;"",IF(Tabelle1[[#This Row],[Startsaldo]]&lt;Rate,Tabelle1[[#This Row],[Startsaldo]],Rate),"")</f>
        <v>0</v>
      </c>
      <c r="F469" s="19"/>
      <c r="G469" s="13">
        <f>Tabelle1[[#This Row],[Planmässige Zahlung ]]+Tabelle1[[#This Row],[Sonderzahlung]]</f>
        <v>0</v>
      </c>
      <c r="H469" s="14">
        <f>Tabelle1[[#This Row],[Zahlung gesamt]]-Tabelle1[[#This Row],[Zinsleistung]]</f>
        <v>0</v>
      </c>
      <c r="I469" s="14">
        <f>IF(AnzahlZahlungen&lt;&gt;"",Tabelle1[[#This Row],[Startsaldo]]*Zinssatz/12,"")</f>
        <v>0</v>
      </c>
      <c r="J469" s="13">
        <f>IF(AnzahlZahlungen&lt;&gt;0,Tabelle1[[#This Row],[Startsaldo]]-Tabelle1[[#This Row],[Zahlung gesamt]],"")</f>
        <v>0</v>
      </c>
      <c r="K469" s="14">
        <f>K468+Tabelle1[[#This Row],[Zinsleistung]]</f>
        <v>58389.377411997804</v>
      </c>
    </row>
    <row r="470" spans="2:11" x14ac:dyDescent="0.25">
      <c r="B470" s="11">
        <f t="shared" si="14"/>
        <v>455</v>
      </c>
      <c r="C470" s="12">
        <f>IF(1,Startdatum,"")</f>
        <v>43281</v>
      </c>
      <c r="D470" s="13">
        <f t="shared" si="15"/>
        <v>0</v>
      </c>
      <c r="E470" s="14">
        <f>IF(AnzahlZahlungen&lt;&gt;"",IF(Tabelle1[[#This Row],[Startsaldo]]&lt;Rate,Tabelle1[[#This Row],[Startsaldo]],Rate),"")</f>
        <v>0</v>
      </c>
      <c r="F470" s="19"/>
      <c r="G470" s="13">
        <f>Tabelle1[[#This Row],[Planmässige Zahlung ]]+Tabelle1[[#This Row],[Sonderzahlung]]</f>
        <v>0</v>
      </c>
      <c r="H470" s="14">
        <f>Tabelle1[[#This Row],[Zahlung gesamt]]-Tabelle1[[#This Row],[Zinsleistung]]</f>
        <v>0</v>
      </c>
      <c r="I470" s="14">
        <f>IF(AnzahlZahlungen&lt;&gt;"",Tabelle1[[#This Row],[Startsaldo]]*Zinssatz/12,"")</f>
        <v>0</v>
      </c>
      <c r="J470" s="13">
        <f>IF(AnzahlZahlungen&lt;&gt;0,Tabelle1[[#This Row],[Startsaldo]]-Tabelle1[[#This Row],[Zahlung gesamt]],"")</f>
        <v>0</v>
      </c>
      <c r="K470" s="14">
        <f>K469+Tabelle1[[#This Row],[Zinsleistung]]</f>
        <v>58389.377411997804</v>
      </c>
    </row>
    <row r="471" spans="2:11" x14ac:dyDescent="0.25">
      <c r="B471" s="11">
        <f t="shared" si="14"/>
        <v>456</v>
      </c>
      <c r="C471" s="12">
        <f>IF(1,Startdatum,"")</f>
        <v>43281</v>
      </c>
      <c r="D471" s="13">
        <f t="shared" si="15"/>
        <v>0</v>
      </c>
      <c r="E471" s="14">
        <f>IF(AnzahlZahlungen&lt;&gt;"",IF(Tabelle1[[#This Row],[Startsaldo]]&lt;Rate,Tabelle1[[#This Row],[Startsaldo]],Rate),"")</f>
        <v>0</v>
      </c>
      <c r="F471" s="19"/>
      <c r="G471" s="13">
        <f>Tabelle1[[#This Row],[Planmässige Zahlung ]]+Tabelle1[[#This Row],[Sonderzahlung]]</f>
        <v>0</v>
      </c>
      <c r="H471" s="14">
        <f>Tabelle1[[#This Row],[Zahlung gesamt]]-Tabelle1[[#This Row],[Zinsleistung]]</f>
        <v>0</v>
      </c>
      <c r="I471" s="14">
        <f>IF(AnzahlZahlungen&lt;&gt;"",Tabelle1[[#This Row],[Startsaldo]]*Zinssatz/12,"")</f>
        <v>0</v>
      </c>
      <c r="J471" s="13">
        <f>IF(AnzahlZahlungen&lt;&gt;0,Tabelle1[[#This Row],[Startsaldo]]-Tabelle1[[#This Row],[Zahlung gesamt]],"")</f>
        <v>0</v>
      </c>
      <c r="K471" s="14">
        <f>K470+Tabelle1[[#This Row],[Zinsleistung]]</f>
        <v>58389.377411997804</v>
      </c>
    </row>
    <row r="472" spans="2:11" x14ac:dyDescent="0.25">
      <c r="B472" s="11">
        <f t="shared" si="14"/>
        <v>457</v>
      </c>
      <c r="C472" s="12">
        <f>IF(1,Startdatum,"")</f>
        <v>43281</v>
      </c>
      <c r="D472" s="13">
        <f t="shared" si="15"/>
        <v>0</v>
      </c>
      <c r="E472" s="14">
        <f>IF(AnzahlZahlungen&lt;&gt;"",IF(Tabelle1[[#This Row],[Startsaldo]]&lt;Rate,Tabelle1[[#This Row],[Startsaldo]],Rate),"")</f>
        <v>0</v>
      </c>
      <c r="F472" s="19"/>
      <c r="G472" s="13">
        <f>Tabelle1[[#This Row],[Planmässige Zahlung ]]+Tabelle1[[#This Row],[Sonderzahlung]]</f>
        <v>0</v>
      </c>
      <c r="H472" s="14">
        <f>Tabelle1[[#This Row],[Zahlung gesamt]]-Tabelle1[[#This Row],[Zinsleistung]]</f>
        <v>0</v>
      </c>
      <c r="I472" s="14">
        <f>IF(AnzahlZahlungen&lt;&gt;"",Tabelle1[[#This Row],[Startsaldo]]*Zinssatz/12,"")</f>
        <v>0</v>
      </c>
      <c r="J472" s="13">
        <f>IF(AnzahlZahlungen&lt;&gt;0,Tabelle1[[#This Row],[Startsaldo]]-Tabelle1[[#This Row],[Zahlung gesamt]],"")</f>
        <v>0</v>
      </c>
      <c r="K472" s="14">
        <f>K471+Tabelle1[[#This Row],[Zinsleistung]]</f>
        <v>58389.377411997804</v>
      </c>
    </row>
    <row r="473" spans="2:11" x14ac:dyDescent="0.25">
      <c r="B473" s="11">
        <f t="shared" si="14"/>
        <v>458</v>
      </c>
      <c r="C473" s="12">
        <f>IF(1,Startdatum,"")</f>
        <v>43281</v>
      </c>
      <c r="D473" s="13">
        <f t="shared" si="15"/>
        <v>0</v>
      </c>
      <c r="E473" s="14">
        <f>IF(AnzahlZahlungen&lt;&gt;"",IF(Tabelle1[[#This Row],[Startsaldo]]&lt;Rate,Tabelle1[[#This Row],[Startsaldo]],Rate),"")</f>
        <v>0</v>
      </c>
      <c r="F473" s="19"/>
      <c r="G473" s="13">
        <f>Tabelle1[[#This Row],[Planmässige Zahlung ]]+Tabelle1[[#This Row],[Sonderzahlung]]</f>
        <v>0</v>
      </c>
      <c r="H473" s="14">
        <f>Tabelle1[[#This Row],[Zahlung gesamt]]-Tabelle1[[#This Row],[Zinsleistung]]</f>
        <v>0</v>
      </c>
      <c r="I473" s="14">
        <f>IF(AnzahlZahlungen&lt;&gt;"",Tabelle1[[#This Row],[Startsaldo]]*Zinssatz/12,"")</f>
        <v>0</v>
      </c>
      <c r="J473" s="13">
        <f>IF(AnzahlZahlungen&lt;&gt;0,Tabelle1[[#This Row],[Startsaldo]]-Tabelle1[[#This Row],[Zahlung gesamt]],"")</f>
        <v>0</v>
      </c>
      <c r="K473" s="14">
        <f>K472+Tabelle1[[#This Row],[Zinsleistung]]</f>
        <v>58389.377411997804</v>
      </c>
    </row>
    <row r="474" spans="2:11" x14ac:dyDescent="0.25">
      <c r="B474" s="11">
        <f t="shared" si="14"/>
        <v>459</v>
      </c>
      <c r="C474" s="12">
        <f>IF(1,Startdatum,"")</f>
        <v>43281</v>
      </c>
      <c r="D474" s="13">
        <f t="shared" si="15"/>
        <v>0</v>
      </c>
      <c r="E474" s="14">
        <f>IF(AnzahlZahlungen&lt;&gt;"",IF(Tabelle1[[#This Row],[Startsaldo]]&lt;Rate,Tabelle1[[#This Row],[Startsaldo]],Rate),"")</f>
        <v>0</v>
      </c>
      <c r="F474" s="19"/>
      <c r="G474" s="13">
        <f>Tabelle1[[#This Row],[Planmässige Zahlung ]]+Tabelle1[[#This Row],[Sonderzahlung]]</f>
        <v>0</v>
      </c>
      <c r="H474" s="14">
        <f>Tabelle1[[#This Row],[Zahlung gesamt]]-Tabelle1[[#This Row],[Zinsleistung]]</f>
        <v>0</v>
      </c>
      <c r="I474" s="14">
        <f>IF(AnzahlZahlungen&lt;&gt;"",Tabelle1[[#This Row],[Startsaldo]]*Zinssatz/12,"")</f>
        <v>0</v>
      </c>
      <c r="J474" s="13">
        <f>IF(AnzahlZahlungen&lt;&gt;0,Tabelle1[[#This Row],[Startsaldo]]-Tabelle1[[#This Row],[Zahlung gesamt]],"")</f>
        <v>0</v>
      </c>
      <c r="K474" s="14">
        <f>K473+Tabelle1[[#This Row],[Zinsleistung]]</f>
        <v>58389.377411997804</v>
      </c>
    </row>
    <row r="475" spans="2:11" x14ac:dyDescent="0.25">
      <c r="B475" s="11">
        <f t="shared" si="14"/>
        <v>460</v>
      </c>
      <c r="C475" s="12">
        <f>IF(1,Startdatum,"")</f>
        <v>43281</v>
      </c>
      <c r="D475" s="13">
        <f t="shared" si="15"/>
        <v>0</v>
      </c>
      <c r="E475" s="14">
        <f>IF(AnzahlZahlungen&lt;&gt;"",IF(Tabelle1[[#This Row],[Startsaldo]]&lt;Rate,Tabelle1[[#This Row],[Startsaldo]],Rate),"")</f>
        <v>0</v>
      </c>
      <c r="F475" s="19"/>
      <c r="G475" s="13">
        <f>Tabelle1[[#This Row],[Planmässige Zahlung ]]+Tabelle1[[#This Row],[Sonderzahlung]]</f>
        <v>0</v>
      </c>
      <c r="H475" s="14">
        <f>Tabelle1[[#This Row],[Zahlung gesamt]]-Tabelle1[[#This Row],[Zinsleistung]]</f>
        <v>0</v>
      </c>
      <c r="I475" s="14">
        <f>IF(AnzahlZahlungen&lt;&gt;"",Tabelle1[[#This Row],[Startsaldo]]*Zinssatz/12,"")</f>
        <v>0</v>
      </c>
      <c r="J475" s="13">
        <f>IF(AnzahlZahlungen&lt;&gt;0,Tabelle1[[#This Row],[Startsaldo]]-Tabelle1[[#This Row],[Zahlung gesamt]],"")</f>
        <v>0</v>
      </c>
      <c r="K475" s="14">
        <f>K474+Tabelle1[[#This Row],[Zinsleistung]]</f>
        <v>58389.377411997804</v>
      </c>
    </row>
    <row r="476" spans="2:11" x14ac:dyDescent="0.25">
      <c r="B476" s="11">
        <f t="shared" si="14"/>
        <v>461</v>
      </c>
      <c r="C476" s="12">
        <f>IF(1,Startdatum,"")</f>
        <v>43281</v>
      </c>
      <c r="D476" s="13">
        <f t="shared" si="15"/>
        <v>0</v>
      </c>
      <c r="E476" s="14">
        <f>IF(AnzahlZahlungen&lt;&gt;"",IF(Tabelle1[[#This Row],[Startsaldo]]&lt;Rate,Tabelle1[[#This Row],[Startsaldo]],Rate),"")</f>
        <v>0</v>
      </c>
      <c r="F476" s="19"/>
      <c r="G476" s="13">
        <f>Tabelle1[[#This Row],[Planmässige Zahlung ]]+Tabelle1[[#This Row],[Sonderzahlung]]</f>
        <v>0</v>
      </c>
      <c r="H476" s="14">
        <f>Tabelle1[[#This Row],[Zahlung gesamt]]-Tabelle1[[#This Row],[Zinsleistung]]</f>
        <v>0</v>
      </c>
      <c r="I476" s="14">
        <f>IF(AnzahlZahlungen&lt;&gt;"",Tabelle1[[#This Row],[Startsaldo]]*Zinssatz/12,"")</f>
        <v>0</v>
      </c>
      <c r="J476" s="13">
        <f>IF(AnzahlZahlungen&lt;&gt;0,Tabelle1[[#This Row],[Startsaldo]]-Tabelle1[[#This Row],[Zahlung gesamt]],"")</f>
        <v>0</v>
      </c>
      <c r="K476" s="14">
        <f>K475+Tabelle1[[#This Row],[Zinsleistung]]</f>
        <v>58389.377411997804</v>
      </c>
    </row>
    <row r="477" spans="2:11" x14ac:dyDescent="0.25">
      <c r="B477" s="11">
        <f t="shared" si="14"/>
        <v>462</v>
      </c>
      <c r="C477" s="12">
        <f>IF(1,Startdatum,"")</f>
        <v>43281</v>
      </c>
      <c r="D477" s="13">
        <f t="shared" si="15"/>
        <v>0</v>
      </c>
      <c r="E477" s="14">
        <f>IF(AnzahlZahlungen&lt;&gt;"",IF(Tabelle1[[#This Row],[Startsaldo]]&lt;Rate,Tabelle1[[#This Row],[Startsaldo]],Rate),"")</f>
        <v>0</v>
      </c>
      <c r="F477" s="19"/>
      <c r="G477" s="13">
        <f>Tabelle1[[#This Row],[Planmässige Zahlung ]]+Tabelle1[[#This Row],[Sonderzahlung]]</f>
        <v>0</v>
      </c>
      <c r="H477" s="14">
        <f>Tabelle1[[#This Row],[Zahlung gesamt]]-Tabelle1[[#This Row],[Zinsleistung]]</f>
        <v>0</v>
      </c>
      <c r="I477" s="14">
        <f>IF(AnzahlZahlungen&lt;&gt;"",Tabelle1[[#This Row],[Startsaldo]]*Zinssatz/12,"")</f>
        <v>0</v>
      </c>
      <c r="J477" s="13">
        <f>IF(AnzahlZahlungen&lt;&gt;0,Tabelle1[[#This Row],[Startsaldo]]-Tabelle1[[#This Row],[Zahlung gesamt]],"")</f>
        <v>0</v>
      </c>
      <c r="K477" s="14">
        <f>K476+Tabelle1[[#This Row],[Zinsleistung]]</f>
        <v>58389.377411997804</v>
      </c>
    </row>
    <row r="478" spans="2:11" x14ac:dyDescent="0.25">
      <c r="B478" s="11">
        <f t="shared" si="14"/>
        <v>463</v>
      </c>
      <c r="C478" s="12">
        <f>IF(1,Startdatum,"")</f>
        <v>43281</v>
      </c>
      <c r="D478" s="13">
        <f t="shared" si="15"/>
        <v>0</v>
      </c>
      <c r="E478" s="14">
        <f>IF(AnzahlZahlungen&lt;&gt;"",IF(Tabelle1[[#This Row],[Startsaldo]]&lt;Rate,Tabelle1[[#This Row],[Startsaldo]],Rate),"")</f>
        <v>0</v>
      </c>
      <c r="F478" s="19"/>
      <c r="G478" s="13">
        <f>Tabelle1[[#This Row],[Planmässige Zahlung ]]+Tabelle1[[#This Row],[Sonderzahlung]]</f>
        <v>0</v>
      </c>
      <c r="H478" s="14">
        <f>Tabelle1[[#This Row],[Zahlung gesamt]]-Tabelle1[[#This Row],[Zinsleistung]]</f>
        <v>0</v>
      </c>
      <c r="I478" s="14">
        <f>IF(AnzahlZahlungen&lt;&gt;"",Tabelle1[[#This Row],[Startsaldo]]*Zinssatz/12,"")</f>
        <v>0</v>
      </c>
      <c r="J478" s="13">
        <f>IF(AnzahlZahlungen&lt;&gt;0,Tabelle1[[#This Row],[Startsaldo]]-Tabelle1[[#This Row],[Zahlung gesamt]],"")</f>
        <v>0</v>
      </c>
      <c r="K478" s="14">
        <f>K477+Tabelle1[[#This Row],[Zinsleistung]]</f>
        <v>58389.377411997804</v>
      </c>
    </row>
    <row r="479" spans="2:11" x14ac:dyDescent="0.25">
      <c r="B479" s="11">
        <f t="shared" si="14"/>
        <v>464</v>
      </c>
      <c r="C479" s="12">
        <f>IF(1,Startdatum,"")</f>
        <v>43281</v>
      </c>
      <c r="D479" s="13">
        <f t="shared" si="15"/>
        <v>0</v>
      </c>
      <c r="E479" s="14">
        <f>IF(AnzahlZahlungen&lt;&gt;"",IF(Tabelle1[[#This Row],[Startsaldo]]&lt;Rate,Tabelle1[[#This Row],[Startsaldo]],Rate),"")</f>
        <v>0</v>
      </c>
      <c r="F479" s="19"/>
      <c r="G479" s="13">
        <f>Tabelle1[[#This Row],[Planmässige Zahlung ]]+Tabelle1[[#This Row],[Sonderzahlung]]</f>
        <v>0</v>
      </c>
      <c r="H479" s="14">
        <f>Tabelle1[[#This Row],[Zahlung gesamt]]-Tabelle1[[#This Row],[Zinsleistung]]</f>
        <v>0</v>
      </c>
      <c r="I479" s="14">
        <f>IF(AnzahlZahlungen&lt;&gt;"",Tabelle1[[#This Row],[Startsaldo]]*Zinssatz/12,"")</f>
        <v>0</v>
      </c>
      <c r="J479" s="13">
        <f>IF(AnzahlZahlungen&lt;&gt;0,Tabelle1[[#This Row],[Startsaldo]]-Tabelle1[[#This Row],[Zahlung gesamt]],"")</f>
        <v>0</v>
      </c>
      <c r="K479" s="14">
        <f>K478+Tabelle1[[#This Row],[Zinsleistung]]</f>
        <v>58389.377411997804</v>
      </c>
    </row>
    <row r="480" spans="2:11" x14ac:dyDescent="0.25">
      <c r="B480" s="11">
        <f t="shared" si="14"/>
        <v>465</v>
      </c>
      <c r="C480" s="12">
        <f>IF(1,Startdatum,"")</f>
        <v>43281</v>
      </c>
      <c r="D480" s="13">
        <f t="shared" si="15"/>
        <v>0</v>
      </c>
      <c r="E480" s="14">
        <f>IF(AnzahlZahlungen&lt;&gt;"",IF(Tabelle1[[#This Row],[Startsaldo]]&lt;Rate,Tabelle1[[#This Row],[Startsaldo]],Rate),"")</f>
        <v>0</v>
      </c>
      <c r="F480" s="19"/>
      <c r="G480" s="13">
        <f>Tabelle1[[#This Row],[Planmässige Zahlung ]]+Tabelle1[[#This Row],[Sonderzahlung]]</f>
        <v>0</v>
      </c>
      <c r="H480" s="14">
        <f>Tabelle1[[#This Row],[Zahlung gesamt]]-Tabelle1[[#This Row],[Zinsleistung]]</f>
        <v>0</v>
      </c>
      <c r="I480" s="14">
        <f>IF(AnzahlZahlungen&lt;&gt;"",Tabelle1[[#This Row],[Startsaldo]]*Zinssatz/12,"")</f>
        <v>0</v>
      </c>
      <c r="J480" s="13">
        <f>IF(AnzahlZahlungen&lt;&gt;0,Tabelle1[[#This Row],[Startsaldo]]-Tabelle1[[#This Row],[Zahlung gesamt]],"")</f>
        <v>0</v>
      </c>
      <c r="K480" s="14">
        <f>K479+Tabelle1[[#This Row],[Zinsleistung]]</f>
        <v>58389.377411997804</v>
      </c>
    </row>
    <row r="481" spans="2:11" x14ac:dyDescent="0.25">
      <c r="B481" s="11">
        <f t="shared" si="14"/>
        <v>466</v>
      </c>
      <c r="C481" s="12">
        <f>IF(1,Startdatum,"")</f>
        <v>43281</v>
      </c>
      <c r="D481" s="13">
        <f t="shared" si="15"/>
        <v>0</v>
      </c>
      <c r="E481" s="14">
        <f>IF(AnzahlZahlungen&lt;&gt;"",IF(Tabelle1[[#This Row],[Startsaldo]]&lt;Rate,Tabelle1[[#This Row],[Startsaldo]],Rate),"")</f>
        <v>0</v>
      </c>
      <c r="F481" s="19"/>
      <c r="G481" s="13">
        <f>Tabelle1[[#This Row],[Planmässige Zahlung ]]+Tabelle1[[#This Row],[Sonderzahlung]]</f>
        <v>0</v>
      </c>
      <c r="H481" s="14">
        <f>Tabelle1[[#This Row],[Zahlung gesamt]]-Tabelle1[[#This Row],[Zinsleistung]]</f>
        <v>0</v>
      </c>
      <c r="I481" s="14">
        <f>IF(AnzahlZahlungen&lt;&gt;"",Tabelle1[[#This Row],[Startsaldo]]*Zinssatz/12,"")</f>
        <v>0</v>
      </c>
      <c r="J481" s="13">
        <f>IF(AnzahlZahlungen&lt;&gt;0,Tabelle1[[#This Row],[Startsaldo]]-Tabelle1[[#This Row],[Zahlung gesamt]],"")</f>
        <v>0</v>
      </c>
      <c r="K481" s="14">
        <f>K480+Tabelle1[[#This Row],[Zinsleistung]]</f>
        <v>58389.377411997804</v>
      </c>
    </row>
    <row r="482" spans="2:11" x14ac:dyDescent="0.25">
      <c r="B482" s="11">
        <f t="shared" si="14"/>
        <v>467</v>
      </c>
      <c r="C482" s="12">
        <f>IF(1,Startdatum,"")</f>
        <v>43281</v>
      </c>
      <c r="D482" s="13">
        <f t="shared" si="15"/>
        <v>0</v>
      </c>
      <c r="E482" s="14">
        <f>IF(AnzahlZahlungen&lt;&gt;"",IF(Tabelle1[[#This Row],[Startsaldo]]&lt;Rate,Tabelle1[[#This Row],[Startsaldo]],Rate),"")</f>
        <v>0</v>
      </c>
      <c r="F482" s="19"/>
      <c r="G482" s="13">
        <f>Tabelle1[[#This Row],[Planmässige Zahlung ]]+Tabelle1[[#This Row],[Sonderzahlung]]</f>
        <v>0</v>
      </c>
      <c r="H482" s="14">
        <f>Tabelle1[[#This Row],[Zahlung gesamt]]-Tabelle1[[#This Row],[Zinsleistung]]</f>
        <v>0</v>
      </c>
      <c r="I482" s="14">
        <f>IF(AnzahlZahlungen&lt;&gt;"",Tabelle1[[#This Row],[Startsaldo]]*Zinssatz/12,"")</f>
        <v>0</v>
      </c>
      <c r="J482" s="13">
        <f>IF(AnzahlZahlungen&lt;&gt;0,Tabelle1[[#This Row],[Startsaldo]]-Tabelle1[[#This Row],[Zahlung gesamt]],"")</f>
        <v>0</v>
      </c>
      <c r="K482" s="14">
        <f>K481+Tabelle1[[#This Row],[Zinsleistung]]</f>
        <v>58389.377411997804</v>
      </c>
    </row>
    <row r="483" spans="2:11" x14ac:dyDescent="0.25">
      <c r="B483" s="11">
        <f t="shared" si="14"/>
        <v>468</v>
      </c>
      <c r="C483" s="12">
        <f>IF(1,Startdatum,"")</f>
        <v>43281</v>
      </c>
      <c r="D483" s="13">
        <f t="shared" si="15"/>
        <v>0</v>
      </c>
      <c r="E483" s="14">
        <f>IF(AnzahlZahlungen&lt;&gt;"",IF(Tabelle1[[#This Row],[Startsaldo]]&lt;Rate,Tabelle1[[#This Row],[Startsaldo]],Rate),"")</f>
        <v>0</v>
      </c>
      <c r="F483" s="19"/>
      <c r="G483" s="13">
        <f>Tabelle1[[#This Row],[Planmässige Zahlung ]]+Tabelle1[[#This Row],[Sonderzahlung]]</f>
        <v>0</v>
      </c>
      <c r="H483" s="14">
        <f>Tabelle1[[#This Row],[Zahlung gesamt]]-Tabelle1[[#This Row],[Zinsleistung]]</f>
        <v>0</v>
      </c>
      <c r="I483" s="14">
        <f>IF(AnzahlZahlungen&lt;&gt;"",Tabelle1[[#This Row],[Startsaldo]]*Zinssatz/12,"")</f>
        <v>0</v>
      </c>
      <c r="J483" s="13">
        <f>IF(AnzahlZahlungen&lt;&gt;0,Tabelle1[[#This Row],[Startsaldo]]-Tabelle1[[#This Row],[Zahlung gesamt]],"")</f>
        <v>0</v>
      </c>
      <c r="K483" s="14">
        <f>K482+Tabelle1[[#This Row],[Zinsleistung]]</f>
        <v>58389.377411997804</v>
      </c>
    </row>
    <row r="484" spans="2:11" x14ac:dyDescent="0.25">
      <c r="B484" s="11">
        <f t="shared" si="14"/>
        <v>469</v>
      </c>
      <c r="C484" s="12">
        <f>IF(1,Startdatum,"")</f>
        <v>43281</v>
      </c>
      <c r="D484" s="13">
        <f t="shared" si="15"/>
        <v>0</v>
      </c>
      <c r="E484" s="14">
        <f>IF(AnzahlZahlungen&lt;&gt;"",IF(Tabelle1[[#This Row],[Startsaldo]]&lt;Rate,Tabelle1[[#This Row],[Startsaldo]],Rate),"")</f>
        <v>0</v>
      </c>
      <c r="F484" s="19"/>
      <c r="G484" s="13">
        <f>Tabelle1[[#This Row],[Planmässige Zahlung ]]+Tabelle1[[#This Row],[Sonderzahlung]]</f>
        <v>0</v>
      </c>
      <c r="H484" s="14">
        <f>Tabelle1[[#This Row],[Zahlung gesamt]]-Tabelle1[[#This Row],[Zinsleistung]]</f>
        <v>0</v>
      </c>
      <c r="I484" s="14">
        <f>IF(AnzahlZahlungen&lt;&gt;"",Tabelle1[[#This Row],[Startsaldo]]*Zinssatz/12,"")</f>
        <v>0</v>
      </c>
      <c r="J484" s="13">
        <f>IF(AnzahlZahlungen&lt;&gt;0,Tabelle1[[#This Row],[Startsaldo]]-Tabelle1[[#This Row],[Zahlung gesamt]],"")</f>
        <v>0</v>
      </c>
      <c r="K484" s="14">
        <f>K483+Tabelle1[[#This Row],[Zinsleistung]]</f>
        <v>58389.377411997804</v>
      </c>
    </row>
    <row r="485" spans="2:11" x14ac:dyDescent="0.25">
      <c r="B485" s="11">
        <f t="shared" si="14"/>
        <v>470</v>
      </c>
      <c r="C485" s="12">
        <f>IF(1,Startdatum,"")</f>
        <v>43281</v>
      </c>
      <c r="D485" s="13">
        <f t="shared" si="15"/>
        <v>0</v>
      </c>
      <c r="E485" s="14">
        <f>IF(AnzahlZahlungen&lt;&gt;"",IF(Tabelle1[[#This Row],[Startsaldo]]&lt;Rate,Tabelle1[[#This Row],[Startsaldo]],Rate),"")</f>
        <v>0</v>
      </c>
      <c r="F485" s="19"/>
      <c r="G485" s="13">
        <f>Tabelle1[[#This Row],[Planmässige Zahlung ]]+Tabelle1[[#This Row],[Sonderzahlung]]</f>
        <v>0</v>
      </c>
      <c r="H485" s="14">
        <f>Tabelle1[[#This Row],[Zahlung gesamt]]-Tabelle1[[#This Row],[Zinsleistung]]</f>
        <v>0</v>
      </c>
      <c r="I485" s="14">
        <f>IF(AnzahlZahlungen&lt;&gt;"",Tabelle1[[#This Row],[Startsaldo]]*Zinssatz/12,"")</f>
        <v>0</v>
      </c>
      <c r="J485" s="13">
        <f>IF(AnzahlZahlungen&lt;&gt;0,Tabelle1[[#This Row],[Startsaldo]]-Tabelle1[[#This Row],[Zahlung gesamt]],"")</f>
        <v>0</v>
      </c>
      <c r="K485" s="14">
        <f>K484+Tabelle1[[#This Row],[Zinsleistung]]</f>
        <v>58389.377411997804</v>
      </c>
    </row>
    <row r="486" spans="2:11" x14ac:dyDescent="0.25">
      <c r="B486" s="11">
        <f t="shared" si="14"/>
        <v>471</v>
      </c>
      <c r="C486" s="12">
        <f>IF(1,Startdatum,"")</f>
        <v>43281</v>
      </c>
      <c r="D486" s="13">
        <f t="shared" si="15"/>
        <v>0</v>
      </c>
      <c r="E486" s="14">
        <f>IF(AnzahlZahlungen&lt;&gt;"",IF(Tabelle1[[#This Row],[Startsaldo]]&lt;Rate,Tabelle1[[#This Row],[Startsaldo]],Rate),"")</f>
        <v>0</v>
      </c>
      <c r="F486" s="19"/>
      <c r="G486" s="13">
        <f>Tabelle1[[#This Row],[Planmässige Zahlung ]]+Tabelle1[[#This Row],[Sonderzahlung]]</f>
        <v>0</v>
      </c>
      <c r="H486" s="14">
        <f>Tabelle1[[#This Row],[Zahlung gesamt]]-Tabelle1[[#This Row],[Zinsleistung]]</f>
        <v>0</v>
      </c>
      <c r="I486" s="14">
        <f>IF(AnzahlZahlungen&lt;&gt;"",Tabelle1[[#This Row],[Startsaldo]]*Zinssatz/12,"")</f>
        <v>0</v>
      </c>
      <c r="J486" s="13">
        <f>IF(AnzahlZahlungen&lt;&gt;0,Tabelle1[[#This Row],[Startsaldo]]-Tabelle1[[#This Row],[Zahlung gesamt]],"")</f>
        <v>0</v>
      </c>
      <c r="K486" s="14">
        <f>K485+Tabelle1[[#This Row],[Zinsleistung]]</f>
        <v>58389.377411997804</v>
      </c>
    </row>
    <row r="487" spans="2:11" x14ac:dyDescent="0.25">
      <c r="B487" s="11">
        <f t="shared" si="14"/>
        <v>472</v>
      </c>
      <c r="C487" s="12">
        <f>IF(1,Startdatum,"")</f>
        <v>43281</v>
      </c>
      <c r="D487" s="13">
        <f t="shared" si="15"/>
        <v>0</v>
      </c>
      <c r="E487" s="14">
        <f>IF(AnzahlZahlungen&lt;&gt;"",IF(Tabelle1[[#This Row],[Startsaldo]]&lt;Rate,Tabelle1[[#This Row],[Startsaldo]],Rate),"")</f>
        <v>0</v>
      </c>
      <c r="F487" s="19"/>
      <c r="G487" s="13">
        <f>Tabelle1[[#This Row],[Planmässige Zahlung ]]+Tabelle1[[#This Row],[Sonderzahlung]]</f>
        <v>0</v>
      </c>
      <c r="H487" s="14">
        <f>Tabelle1[[#This Row],[Zahlung gesamt]]-Tabelle1[[#This Row],[Zinsleistung]]</f>
        <v>0</v>
      </c>
      <c r="I487" s="14">
        <f>IF(AnzahlZahlungen&lt;&gt;"",Tabelle1[[#This Row],[Startsaldo]]*Zinssatz/12,"")</f>
        <v>0</v>
      </c>
      <c r="J487" s="13">
        <f>IF(AnzahlZahlungen&lt;&gt;0,Tabelle1[[#This Row],[Startsaldo]]-Tabelle1[[#This Row],[Zahlung gesamt]],"")</f>
        <v>0</v>
      </c>
      <c r="K487" s="14">
        <f>K486+Tabelle1[[#This Row],[Zinsleistung]]</f>
        <v>58389.377411997804</v>
      </c>
    </row>
    <row r="488" spans="2:11" x14ac:dyDescent="0.25">
      <c r="B488" s="11">
        <f t="shared" si="14"/>
        <v>473</v>
      </c>
      <c r="C488" s="12">
        <f>IF(1,Startdatum,"")</f>
        <v>43281</v>
      </c>
      <c r="D488" s="13">
        <f t="shared" si="15"/>
        <v>0</v>
      </c>
      <c r="E488" s="14">
        <f>IF(AnzahlZahlungen&lt;&gt;"",IF(Tabelle1[[#This Row],[Startsaldo]]&lt;Rate,Tabelle1[[#This Row],[Startsaldo]],Rate),"")</f>
        <v>0</v>
      </c>
      <c r="F488" s="19"/>
      <c r="G488" s="13">
        <f>Tabelle1[[#This Row],[Planmässige Zahlung ]]+Tabelle1[[#This Row],[Sonderzahlung]]</f>
        <v>0</v>
      </c>
      <c r="H488" s="14">
        <f>Tabelle1[[#This Row],[Zahlung gesamt]]-Tabelle1[[#This Row],[Zinsleistung]]</f>
        <v>0</v>
      </c>
      <c r="I488" s="14">
        <f>IF(AnzahlZahlungen&lt;&gt;"",Tabelle1[[#This Row],[Startsaldo]]*Zinssatz/12,"")</f>
        <v>0</v>
      </c>
      <c r="J488" s="13">
        <f>IF(AnzahlZahlungen&lt;&gt;0,Tabelle1[[#This Row],[Startsaldo]]-Tabelle1[[#This Row],[Zahlung gesamt]],"")</f>
        <v>0</v>
      </c>
      <c r="K488" s="14">
        <f>K487+Tabelle1[[#This Row],[Zinsleistung]]</f>
        <v>58389.377411997804</v>
      </c>
    </row>
    <row r="489" spans="2:11" x14ac:dyDescent="0.25">
      <c r="B489" s="11">
        <f t="shared" si="14"/>
        <v>474</v>
      </c>
      <c r="C489" s="12">
        <f>IF(1,Startdatum,"")</f>
        <v>43281</v>
      </c>
      <c r="D489" s="13">
        <f t="shared" si="15"/>
        <v>0</v>
      </c>
      <c r="E489" s="14">
        <f>IF(AnzahlZahlungen&lt;&gt;"",IF(Tabelle1[[#This Row],[Startsaldo]]&lt;Rate,Tabelle1[[#This Row],[Startsaldo]],Rate),"")</f>
        <v>0</v>
      </c>
      <c r="F489" s="19"/>
      <c r="G489" s="13">
        <f>Tabelle1[[#This Row],[Planmässige Zahlung ]]+Tabelle1[[#This Row],[Sonderzahlung]]</f>
        <v>0</v>
      </c>
      <c r="H489" s="14">
        <f>Tabelle1[[#This Row],[Zahlung gesamt]]-Tabelle1[[#This Row],[Zinsleistung]]</f>
        <v>0</v>
      </c>
      <c r="I489" s="14">
        <f>IF(AnzahlZahlungen&lt;&gt;"",Tabelle1[[#This Row],[Startsaldo]]*Zinssatz/12,"")</f>
        <v>0</v>
      </c>
      <c r="J489" s="13">
        <f>IF(AnzahlZahlungen&lt;&gt;0,Tabelle1[[#This Row],[Startsaldo]]-Tabelle1[[#This Row],[Zahlung gesamt]],"")</f>
        <v>0</v>
      </c>
      <c r="K489" s="14">
        <f>K488+Tabelle1[[#This Row],[Zinsleistung]]</f>
        <v>58389.377411997804</v>
      </c>
    </row>
    <row r="490" spans="2:11" x14ac:dyDescent="0.25">
      <c r="B490" s="11">
        <f t="shared" si="14"/>
        <v>475</v>
      </c>
      <c r="C490" s="12">
        <f>IF(1,Startdatum,"")</f>
        <v>43281</v>
      </c>
      <c r="D490" s="13">
        <f t="shared" si="15"/>
        <v>0</v>
      </c>
      <c r="E490" s="14">
        <f>IF(AnzahlZahlungen&lt;&gt;"",IF(Tabelle1[[#This Row],[Startsaldo]]&lt;Rate,Tabelle1[[#This Row],[Startsaldo]],Rate),"")</f>
        <v>0</v>
      </c>
      <c r="F490" s="19"/>
      <c r="G490" s="13">
        <f>Tabelle1[[#This Row],[Planmässige Zahlung ]]+Tabelle1[[#This Row],[Sonderzahlung]]</f>
        <v>0</v>
      </c>
      <c r="H490" s="14">
        <f>Tabelle1[[#This Row],[Zahlung gesamt]]-Tabelle1[[#This Row],[Zinsleistung]]</f>
        <v>0</v>
      </c>
      <c r="I490" s="14">
        <f>IF(AnzahlZahlungen&lt;&gt;"",Tabelle1[[#This Row],[Startsaldo]]*Zinssatz/12,"")</f>
        <v>0</v>
      </c>
      <c r="J490" s="13">
        <f>IF(AnzahlZahlungen&lt;&gt;0,Tabelle1[[#This Row],[Startsaldo]]-Tabelle1[[#This Row],[Zahlung gesamt]],"")</f>
        <v>0</v>
      </c>
      <c r="K490" s="14">
        <f>K489+Tabelle1[[#This Row],[Zinsleistung]]</f>
        <v>58389.377411997804</v>
      </c>
    </row>
    <row r="491" spans="2:11" x14ac:dyDescent="0.25">
      <c r="B491" s="11">
        <f t="shared" si="14"/>
        <v>476</v>
      </c>
      <c r="C491" s="12">
        <f>IF(1,Startdatum,"")</f>
        <v>43281</v>
      </c>
      <c r="D491" s="13">
        <f t="shared" si="15"/>
        <v>0</v>
      </c>
      <c r="E491" s="14">
        <f>IF(AnzahlZahlungen&lt;&gt;"",IF(Tabelle1[[#This Row],[Startsaldo]]&lt;Rate,Tabelle1[[#This Row],[Startsaldo]],Rate),"")</f>
        <v>0</v>
      </c>
      <c r="F491" s="19"/>
      <c r="G491" s="13">
        <f>Tabelle1[[#This Row],[Planmässige Zahlung ]]+Tabelle1[[#This Row],[Sonderzahlung]]</f>
        <v>0</v>
      </c>
      <c r="H491" s="14">
        <f>Tabelle1[[#This Row],[Zahlung gesamt]]-Tabelle1[[#This Row],[Zinsleistung]]</f>
        <v>0</v>
      </c>
      <c r="I491" s="14">
        <f>IF(AnzahlZahlungen&lt;&gt;"",Tabelle1[[#This Row],[Startsaldo]]*Zinssatz/12,"")</f>
        <v>0</v>
      </c>
      <c r="J491" s="13">
        <f>IF(AnzahlZahlungen&lt;&gt;0,Tabelle1[[#This Row],[Startsaldo]]-Tabelle1[[#This Row],[Zahlung gesamt]],"")</f>
        <v>0</v>
      </c>
      <c r="K491" s="14">
        <f>K490+Tabelle1[[#This Row],[Zinsleistung]]</f>
        <v>58389.377411997804</v>
      </c>
    </row>
    <row r="492" spans="2:11" x14ac:dyDescent="0.25">
      <c r="B492" s="11">
        <f t="shared" si="14"/>
        <v>477</v>
      </c>
      <c r="C492" s="12">
        <f>IF(1,Startdatum,"")</f>
        <v>43281</v>
      </c>
      <c r="D492" s="13">
        <f t="shared" si="15"/>
        <v>0</v>
      </c>
      <c r="E492" s="14">
        <f>IF(AnzahlZahlungen&lt;&gt;"",IF(Tabelle1[[#This Row],[Startsaldo]]&lt;Rate,Tabelle1[[#This Row],[Startsaldo]],Rate),"")</f>
        <v>0</v>
      </c>
      <c r="F492" s="19"/>
      <c r="G492" s="13">
        <f>Tabelle1[[#This Row],[Planmässige Zahlung ]]+Tabelle1[[#This Row],[Sonderzahlung]]</f>
        <v>0</v>
      </c>
      <c r="H492" s="14">
        <f>Tabelle1[[#This Row],[Zahlung gesamt]]-Tabelle1[[#This Row],[Zinsleistung]]</f>
        <v>0</v>
      </c>
      <c r="I492" s="14">
        <f>IF(AnzahlZahlungen&lt;&gt;"",Tabelle1[[#This Row],[Startsaldo]]*Zinssatz/12,"")</f>
        <v>0</v>
      </c>
      <c r="J492" s="13">
        <f>IF(AnzahlZahlungen&lt;&gt;0,Tabelle1[[#This Row],[Startsaldo]]-Tabelle1[[#This Row],[Zahlung gesamt]],"")</f>
        <v>0</v>
      </c>
      <c r="K492" s="14">
        <f>K491+Tabelle1[[#This Row],[Zinsleistung]]</f>
        <v>58389.377411997804</v>
      </c>
    </row>
    <row r="493" spans="2:11" x14ac:dyDescent="0.25">
      <c r="B493" s="11">
        <f t="shared" si="14"/>
        <v>478</v>
      </c>
      <c r="C493" s="12">
        <f>IF(1,Startdatum,"")</f>
        <v>43281</v>
      </c>
      <c r="D493" s="13">
        <f t="shared" si="15"/>
        <v>0</v>
      </c>
      <c r="E493" s="14">
        <f>IF(AnzahlZahlungen&lt;&gt;"",IF(Tabelle1[[#This Row],[Startsaldo]]&lt;Rate,Tabelle1[[#This Row],[Startsaldo]],Rate),"")</f>
        <v>0</v>
      </c>
      <c r="F493" s="19"/>
      <c r="G493" s="13">
        <f>Tabelle1[[#This Row],[Planmässige Zahlung ]]+Tabelle1[[#This Row],[Sonderzahlung]]</f>
        <v>0</v>
      </c>
      <c r="H493" s="14">
        <f>Tabelle1[[#This Row],[Zahlung gesamt]]-Tabelle1[[#This Row],[Zinsleistung]]</f>
        <v>0</v>
      </c>
      <c r="I493" s="14">
        <f>IF(AnzahlZahlungen&lt;&gt;"",Tabelle1[[#This Row],[Startsaldo]]*Zinssatz/12,"")</f>
        <v>0</v>
      </c>
      <c r="J493" s="13">
        <f>IF(AnzahlZahlungen&lt;&gt;0,Tabelle1[[#This Row],[Startsaldo]]-Tabelle1[[#This Row],[Zahlung gesamt]],"")</f>
        <v>0</v>
      </c>
      <c r="K493" s="14">
        <f>K492+Tabelle1[[#This Row],[Zinsleistung]]</f>
        <v>58389.377411997804</v>
      </c>
    </row>
    <row r="494" spans="2:11" x14ac:dyDescent="0.25">
      <c r="B494" s="11">
        <f t="shared" si="14"/>
        <v>479</v>
      </c>
      <c r="C494" s="12">
        <f>IF(1,Startdatum,"")</f>
        <v>43281</v>
      </c>
      <c r="D494" s="13">
        <f t="shared" si="15"/>
        <v>0</v>
      </c>
      <c r="E494" s="14">
        <f>IF(AnzahlZahlungen&lt;&gt;"",IF(Tabelle1[[#This Row],[Startsaldo]]&lt;Rate,Tabelle1[[#This Row],[Startsaldo]],Rate),"")</f>
        <v>0</v>
      </c>
      <c r="F494" s="19"/>
      <c r="G494" s="13">
        <f>Tabelle1[[#This Row],[Planmässige Zahlung ]]+Tabelle1[[#This Row],[Sonderzahlung]]</f>
        <v>0</v>
      </c>
      <c r="H494" s="14">
        <f>Tabelle1[[#This Row],[Zahlung gesamt]]-Tabelle1[[#This Row],[Zinsleistung]]</f>
        <v>0</v>
      </c>
      <c r="I494" s="14">
        <f>IF(AnzahlZahlungen&lt;&gt;"",Tabelle1[[#This Row],[Startsaldo]]*Zinssatz/12,"")</f>
        <v>0</v>
      </c>
      <c r="J494" s="13">
        <f>IF(AnzahlZahlungen&lt;&gt;0,Tabelle1[[#This Row],[Startsaldo]]-Tabelle1[[#This Row],[Zahlung gesamt]],"")</f>
        <v>0</v>
      </c>
      <c r="K494" s="14">
        <f>K493+Tabelle1[[#This Row],[Zinsleistung]]</f>
        <v>58389.377411997804</v>
      </c>
    </row>
    <row r="495" spans="2:11" x14ac:dyDescent="0.25">
      <c r="B495" s="11">
        <f t="shared" si="14"/>
        <v>480</v>
      </c>
      <c r="C495" s="12">
        <f>IF(1,Startdatum,"")</f>
        <v>43281</v>
      </c>
      <c r="D495" s="13">
        <f t="shared" si="15"/>
        <v>0</v>
      </c>
      <c r="E495" s="14">
        <f>IF(AnzahlZahlungen&lt;&gt;"",IF(Tabelle1[[#This Row],[Startsaldo]]&lt;Rate,Tabelle1[[#This Row],[Startsaldo]],Rate),"")</f>
        <v>0</v>
      </c>
      <c r="F495" s="19"/>
      <c r="G495" s="13">
        <f>Tabelle1[[#This Row],[Planmässige Zahlung ]]+Tabelle1[[#This Row],[Sonderzahlung]]</f>
        <v>0</v>
      </c>
      <c r="H495" s="14">
        <f>Tabelle1[[#This Row],[Zahlung gesamt]]-Tabelle1[[#This Row],[Zinsleistung]]</f>
        <v>0</v>
      </c>
      <c r="I495" s="14">
        <f>IF(AnzahlZahlungen&lt;&gt;"",Tabelle1[[#This Row],[Startsaldo]]*Zinssatz/12,"")</f>
        <v>0</v>
      </c>
      <c r="J495" s="13">
        <f>IF(AnzahlZahlungen&lt;&gt;0,Tabelle1[[#This Row],[Startsaldo]]-Tabelle1[[#This Row],[Zahlung gesamt]],"")</f>
        <v>0</v>
      </c>
      <c r="K495" s="14">
        <f>K494+Tabelle1[[#This Row],[Zinsleistung]]</f>
        <v>58389.377411997804</v>
      </c>
    </row>
    <row r="496" spans="2:11" x14ac:dyDescent="0.25">
      <c r="B496" s="11">
        <f t="shared" si="14"/>
        <v>481</v>
      </c>
      <c r="C496" s="12">
        <f>IF(1,Startdatum,"")</f>
        <v>43281</v>
      </c>
      <c r="D496" s="13">
        <f t="shared" si="15"/>
        <v>0</v>
      </c>
      <c r="E496" s="14">
        <f>IF(AnzahlZahlungen&lt;&gt;"",IF(Tabelle1[[#This Row],[Startsaldo]]&lt;Rate,Tabelle1[[#This Row],[Startsaldo]],Rate),"")</f>
        <v>0</v>
      </c>
      <c r="F496" s="19"/>
      <c r="G496" s="13">
        <f>Tabelle1[[#This Row],[Planmässige Zahlung ]]+Tabelle1[[#This Row],[Sonderzahlung]]</f>
        <v>0</v>
      </c>
      <c r="H496" s="14">
        <f>Tabelle1[[#This Row],[Zahlung gesamt]]-Tabelle1[[#This Row],[Zinsleistung]]</f>
        <v>0</v>
      </c>
      <c r="I496" s="14">
        <f>IF(AnzahlZahlungen&lt;&gt;"",Tabelle1[[#This Row],[Startsaldo]]*Zinssatz/12,"")</f>
        <v>0</v>
      </c>
      <c r="J496" s="13">
        <f>IF(AnzahlZahlungen&lt;&gt;0,Tabelle1[[#This Row],[Startsaldo]]-Tabelle1[[#This Row],[Zahlung gesamt]],"")</f>
        <v>0</v>
      </c>
      <c r="K496" s="14">
        <f>K495+Tabelle1[[#This Row],[Zinsleistung]]</f>
        <v>58389.377411997804</v>
      </c>
    </row>
    <row r="497" spans="2:11" x14ac:dyDescent="0.25">
      <c r="B497" s="11">
        <f t="shared" si="14"/>
        <v>482</v>
      </c>
      <c r="C497" s="12">
        <f>IF(1,Startdatum,"")</f>
        <v>43281</v>
      </c>
      <c r="D497" s="13">
        <f t="shared" si="15"/>
        <v>0</v>
      </c>
      <c r="E497" s="14">
        <f>IF(AnzahlZahlungen&lt;&gt;"",IF(Tabelle1[[#This Row],[Startsaldo]]&lt;Rate,Tabelle1[[#This Row],[Startsaldo]],Rate),"")</f>
        <v>0</v>
      </c>
      <c r="F497" s="19"/>
      <c r="G497" s="13">
        <f>Tabelle1[[#This Row],[Planmässige Zahlung ]]+Tabelle1[[#This Row],[Sonderzahlung]]</f>
        <v>0</v>
      </c>
      <c r="H497" s="14">
        <f>Tabelle1[[#This Row],[Zahlung gesamt]]-Tabelle1[[#This Row],[Zinsleistung]]</f>
        <v>0</v>
      </c>
      <c r="I497" s="14">
        <f>IF(AnzahlZahlungen&lt;&gt;"",Tabelle1[[#This Row],[Startsaldo]]*Zinssatz/12,"")</f>
        <v>0</v>
      </c>
      <c r="J497" s="13">
        <f>IF(AnzahlZahlungen&lt;&gt;0,Tabelle1[[#This Row],[Startsaldo]]-Tabelle1[[#This Row],[Zahlung gesamt]],"")</f>
        <v>0</v>
      </c>
      <c r="K497" s="14">
        <f>K496+Tabelle1[[#This Row],[Zinsleistung]]</f>
        <v>58389.377411997804</v>
      </c>
    </row>
    <row r="498" spans="2:11" x14ac:dyDescent="0.25">
      <c r="B498" s="11">
        <f t="shared" si="14"/>
        <v>483</v>
      </c>
      <c r="C498" s="12">
        <f>IF(1,Startdatum,"")</f>
        <v>43281</v>
      </c>
      <c r="D498" s="13">
        <f t="shared" si="15"/>
        <v>0</v>
      </c>
      <c r="E498" s="14">
        <f>IF(AnzahlZahlungen&lt;&gt;"",IF(Tabelle1[[#This Row],[Startsaldo]]&lt;Rate,Tabelle1[[#This Row],[Startsaldo]],Rate),"")</f>
        <v>0</v>
      </c>
      <c r="F498" s="19"/>
      <c r="G498" s="13">
        <f>Tabelle1[[#This Row],[Planmässige Zahlung ]]+Tabelle1[[#This Row],[Sonderzahlung]]</f>
        <v>0</v>
      </c>
      <c r="H498" s="14">
        <f>Tabelle1[[#This Row],[Zahlung gesamt]]-Tabelle1[[#This Row],[Zinsleistung]]</f>
        <v>0</v>
      </c>
      <c r="I498" s="14">
        <f>IF(AnzahlZahlungen&lt;&gt;"",Tabelle1[[#This Row],[Startsaldo]]*Zinssatz/12,"")</f>
        <v>0</v>
      </c>
      <c r="J498" s="13">
        <f>IF(AnzahlZahlungen&lt;&gt;0,Tabelle1[[#This Row],[Startsaldo]]-Tabelle1[[#This Row],[Zahlung gesamt]],"")</f>
        <v>0</v>
      </c>
      <c r="K498" s="14">
        <f>K497+Tabelle1[[#This Row],[Zinsleistung]]</f>
        <v>58389.377411997804</v>
      </c>
    </row>
    <row r="499" spans="2:11" x14ac:dyDescent="0.25">
      <c r="B499" s="11">
        <f t="shared" si="14"/>
        <v>484</v>
      </c>
      <c r="C499" s="12">
        <f>IF(1,Startdatum,"")</f>
        <v>43281</v>
      </c>
      <c r="D499" s="13">
        <f t="shared" si="15"/>
        <v>0</v>
      </c>
      <c r="E499" s="14">
        <f>IF(AnzahlZahlungen&lt;&gt;"",IF(Tabelle1[[#This Row],[Startsaldo]]&lt;Rate,Tabelle1[[#This Row],[Startsaldo]],Rate),"")</f>
        <v>0</v>
      </c>
      <c r="F499" s="19"/>
      <c r="G499" s="13">
        <f>Tabelle1[[#This Row],[Planmässige Zahlung ]]+Tabelle1[[#This Row],[Sonderzahlung]]</f>
        <v>0</v>
      </c>
      <c r="H499" s="14">
        <f>Tabelle1[[#This Row],[Zahlung gesamt]]-Tabelle1[[#This Row],[Zinsleistung]]</f>
        <v>0</v>
      </c>
      <c r="I499" s="14">
        <f>IF(AnzahlZahlungen&lt;&gt;"",Tabelle1[[#This Row],[Startsaldo]]*Zinssatz/12,"")</f>
        <v>0</v>
      </c>
      <c r="J499" s="13">
        <f>IF(AnzahlZahlungen&lt;&gt;0,Tabelle1[[#This Row],[Startsaldo]]-Tabelle1[[#This Row],[Zahlung gesamt]],"")</f>
        <v>0</v>
      </c>
      <c r="K499" s="14">
        <f>K498+Tabelle1[[#This Row],[Zinsleistung]]</f>
        <v>58389.377411997804</v>
      </c>
    </row>
    <row r="500" spans="2:11" x14ac:dyDescent="0.25">
      <c r="B500" s="11">
        <f t="shared" si="14"/>
        <v>485</v>
      </c>
      <c r="C500" s="12">
        <f>IF(1,Startdatum,"")</f>
        <v>43281</v>
      </c>
      <c r="D500" s="13">
        <f t="shared" si="15"/>
        <v>0</v>
      </c>
      <c r="E500" s="14">
        <f>IF(AnzahlZahlungen&lt;&gt;"",IF(Tabelle1[[#This Row],[Startsaldo]]&lt;Rate,Tabelle1[[#This Row],[Startsaldo]],Rate),"")</f>
        <v>0</v>
      </c>
      <c r="F500" s="19"/>
      <c r="G500" s="13">
        <f>Tabelle1[[#This Row],[Planmässige Zahlung ]]+Tabelle1[[#This Row],[Sonderzahlung]]</f>
        <v>0</v>
      </c>
      <c r="H500" s="14">
        <f>Tabelle1[[#This Row],[Zahlung gesamt]]-Tabelle1[[#This Row],[Zinsleistung]]</f>
        <v>0</v>
      </c>
      <c r="I500" s="14">
        <f>IF(AnzahlZahlungen&lt;&gt;"",Tabelle1[[#This Row],[Startsaldo]]*Zinssatz/12,"")</f>
        <v>0</v>
      </c>
      <c r="J500" s="13">
        <f>IF(AnzahlZahlungen&lt;&gt;0,Tabelle1[[#This Row],[Startsaldo]]-Tabelle1[[#This Row],[Zahlung gesamt]],"")</f>
        <v>0</v>
      </c>
      <c r="K500" s="14">
        <f>K499+Tabelle1[[#This Row],[Zinsleistung]]</f>
        <v>58389.377411997804</v>
      </c>
    </row>
    <row r="501" spans="2:11" x14ac:dyDescent="0.25">
      <c r="B501" s="11">
        <f t="shared" si="14"/>
        <v>486</v>
      </c>
      <c r="C501" s="12">
        <f>IF(1,Startdatum,"")</f>
        <v>43281</v>
      </c>
      <c r="D501" s="13">
        <f t="shared" si="15"/>
        <v>0</v>
      </c>
      <c r="E501" s="14">
        <f>IF(AnzahlZahlungen&lt;&gt;"",IF(Tabelle1[[#This Row],[Startsaldo]]&lt;Rate,Tabelle1[[#This Row],[Startsaldo]],Rate),"")</f>
        <v>0</v>
      </c>
      <c r="F501" s="19"/>
      <c r="G501" s="13">
        <f>Tabelle1[[#This Row],[Planmässige Zahlung ]]+Tabelle1[[#This Row],[Sonderzahlung]]</f>
        <v>0</v>
      </c>
      <c r="H501" s="14">
        <f>Tabelle1[[#This Row],[Zahlung gesamt]]-Tabelle1[[#This Row],[Zinsleistung]]</f>
        <v>0</v>
      </c>
      <c r="I501" s="14">
        <f>IF(AnzahlZahlungen&lt;&gt;"",Tabelle1[[#This Row],[Startsaldo]]*Zinssatz/12,"")</f>
        <v>0</v>
      </c>
      <c r="J501" s="13">
        <f>IF(AnzahlZahlungen&lt;&gt;0,Tabelle1[[#This Row],[Startsaldo]]-Tabelle1[[#This Row],[Zahlung gesamt]],"")</f>
        <v>0</v>
      </c>
      <c r="K501" s="14">
        <f>K500+Tabelle1[[#This Row],[Zinsleistung]]</f>
        <v>58389.377411997804</v>
      </c>
    </row>
    <row r="502" spans="2:11" x14ac:dyDescent="0.25">
      <c r="B502" s="11">
        <f t="shared" si="14"/>
        <v>487</v>
      </c>
      <c r="C502" s="12">
        <f>IF(1,Startdatum,"")</f>
        <v>43281</v>
      </c>
      <c r="D502" s="13">
        <f t="shared" si="15"/>
        <v>0</v>
      </c>
      <c r="E502" s="14">
        <f>IF(AnzahlZahlungen&lt;&gt;"",IF(Tabelle1[[#This Row],[Startsaldo]]&lt;Rate,Tabelle1[[#This Row],[Startsaldo]],Rate),"")</f>
        <v>0</v>
      </c>
      <c r="F502" s="19"/>
      <c r="G502" s="13">
        <f>Tabelle1[[#This Row],[Planmässige Zahlung ]]+Tabelle1[[#This Row],[Sonderzahlung]]</f>
        <v>0</v>
      </c>
      <c r="H502" s="14">
        <f>Tabelle1[[#This Row],[Zahlung gesamt]]-Tabelle1[[#This Row],[Zinsleistung]]</f>
        <v>0</v>
      </c>
      <c r="I502" s="14">
        <f>IF(AnzahlZahlungen&lt;&gt;"",Tabelle1[[#This Row],[Startsaldo]]*Zinssatz/12,"")</f>
        <v>0</v>
      </c>
      <c r="J502" s="13">
        <f>IF(AnzahlZahlungen&lt;&gt;0,Tabelle1[[#This Row],[Startsaldo]]-Tabelle1[[#This Row],[Zahlung gesamt]],"")</f>
        <v>0</v>
      </c>
      <c r="K502" s="14">
        <f>K501+Tabelle1[[#This Row],[Zinsleistung]]</f>
        <v>58389.377411997804</v>
      </c>
    </row>
    <row r="503" spans="2:11" x14ac:dyDescent="0.25">
      <c r="B503" s="11">
        <f t="shared" si="14"/>
        <v>488</v>
      </c>
      <c r="C503" s="12">
        <f>IF(1,Startdatum,"")</f>
        <v>43281</v>
      </c>
      <c r="D503" s="13">
        <f t="shared" si="15"/>
        <v>0</v>
      </c>
      <c r="E503" s="14">
        <f>IF(AnzahlZahlungen&lt;&gt;"",IF(Tabelle1[[#This Row],[Startsaldo]]&lt;Rate,Tabelle1[[#This Row],[Startsaldo]],Rate),"")</f>
        <v>0</v>
      </c>
      <c r="F503" s="19"/>
      <c r="G503" s="13">
        <f>Tabelle1[[#This Row],[Planmässige Zahlung ]]+Tabelle1[[#This Row],[Sonderzahlung]]</f>
        <v>0</v>
      </c>
      <c r="H503" s="14">
        <f>Tabelle1[[#This Row],[Zahlung gesamt]]-Tabelle1[[#This Row],[Zinsleistung]]</f>
        <v>0</v>
      </c>
      <c r="I503" s="14">
        <f>IF(AnzahlZahlungen&lt;&gt;"",Tabelle1[[#This Row],[Startsaldo]]*Zinssatz/12,"")</f>
        <v>0</v>
      </c>
      <c r="J503" s="13">
        <f>IF(AnzahlZahlungen&lt;&gt;0,Tabelle1[[#This Row],[Startsaldo]]-Tabelle1[[#This Row],[Zahlung gesamt]],"")</f>
        <v>0</v>
      </c>
      <c r="K503" s="14">
        <f>K502+Tabelle1[[#This Row],[Zinsleistung]]</f>
        <v>58389.377411997804</v>
      </c>
    </row>
    <row r="504" spans="2:11" x14ac:dyDescent="0.25">
      <c r="B504" s="11">
        <f t="shared" si="14"/>
        <v>489</v>
      </c>
      <c r="C504" s="12">
        <f>IF(1,Startdatum,"")</f>
        <v>43281</v>
      </c>
      <c r="D504" s="13">
        <f t="shared" si="15"/>
        <v>0</v>
      </c>
      <c r="E504" s="14">
        <f>IF(AnzahlZahlungen&lt;&gt;"",IF(Tabelle1[[#This Row],[Startsaldo]]&lt;Rate,Tabelle1[[#This Row],[Startsaldo]],Rate),"")</f>
        <v>0</v>
      </c>
      <c r="F504" s="19"/>
      <c r="G504" s="13">
        <f>Tabelle1[[#This Row],[Planmässige Zahlung ]]+Tabelle1[[#This Row],[Sonderzahlung]]</f>
        <v>0</v>
      </c>
      <c r="H504" s="14">
        <f>Tabelle1[[#This Row],[Zahlung gesamt]]-Tabelle1[[#This Row],[Zinsleistung]]</f>
        <v>0</v>
      </c>
      <c r="I504" s="14">
        <f>IF(AnzahlZahlungen&lt;&gt;"",Tabelle1[[#This Row],[Startsaldo]]*Zinssatz/12,"")</f>
        <v>0</v>
      </c>
      <c r="J504" s="13">
        <f>IF(AnzahlZahlungen&lt;&gt;0,Tabelle1[[#This Row],[Startsaldo]]-Tabelle1[[#This Row],[Zahlung gesamt]],"")</f>
        <v>0</v>
      </c>
      <c r="K504" s="14">
        <f>K503+Tabelle1[[#This Row],[Zinsleistung]]</f>
        <v>58389.377411997804</v>
      </c>
    </row>
    <row r="505" spans="2:11" x14ac:dyDescent="0.25">
      <c r="B505" s="11">
        <f t="shared" si="14"/>
        <v>490</v>
      </c>
      <c r="C505" s="12">
        <f>IF(1,Startdatum,"")</f>
        <v>43281</v>
      </c>
      <c r="D505" s="13">
        <f t="shared" si="15"/>
        <v>0</v>
      </c>
      <c r="E505" s="14">
        <f>IF(AnzahlZahlungen&lt;&gt;"",IF(Tabelle1[[#This Row],[Startsaldo]]&lt;Rate,Tabelle1[[#This Row],[Startsaldo]],Rate),"")</f>
        <v>0</v>
      </c>
      <c r="F505" s="19"/>
      <c r="G505" s="13">
        <f>Tabelle1[[#This Row],[Planmässige Zahlung ]]+Tabelle1[[#This Row],[Sonderzahlung]]</f>
        <v>0</v>
      </c>
      <c r="H505" s="14">
        <f>Tabelle1[[#This Row],[Zahlung gesamt]]-Tabelle1[[#This Row],[Zinsleistung]]</f>
        <v>0</v>
      </c>
      <c r="I505" s="14">
        <f>IF(AnzahlZahlungen&lt;&gt;"",Tabelle1[[#This Row],[Startsaldo]]*Zinssatz/12,"")</f>
        <v>0</v>
      </c>
      <c r="J505" s="13">
        <f>IF(AnzahlZahlungen&lt;&gt;0,Tabelle1[[#This Row],[Startsaldo]]-Tabelle1[[#This Row],[Zahlung gesamt]],"")</f>
        <v>0</v>
      </c>
      <c r="K505" s="14">
        <f>K504+Tabelle1[[#This Row],[Zinsleistung]]</f>
        <v>58389.377411997804</v>
      </c>
    </row>
    <row r="506" spans="2:11" x14ac:dyDescent="0.25">
      <c r="B506" s="11">
        <f t="shared" si="14"/>
        <v>491</v>
      </c>
      <c r="C506" s="12">
        <f>IF(1,Startdatum,"")</f>
        <v>43281</v>
      </c>
      <c r="D506" s="13">
        <f t="shared" si="15"/>
        <v>0</v>
      </c>
      <c r="E506" s="14">
        <f>IF(AnzahlZahlungen&lt;&gt;"",IF(Tabelle1[[#This Row],[Startsaldo]]&lt;Rate,Tabelle1[[#This Row],[Startsaldo]],Rate),"")</f>
        <v>0</v>
      </c>
      <c r="F506" s="19"/>
      <c r="G506" s="13">
        <f>Tabelle1[[#This Row],[Planmässige Zahlung ]]+Tabelle1[[#This Row],[Sonderzahlung]]</f>
        <v>0</v>
      </c>
      <c r="H506" s="14">
        <f>Tabelle1[[#This Row],[Zahlung gesamt]]-Tabelle1[[#This Row],[Zinsleistung]]</f>
        <v>0</v>
      </c>
      <c r="I506" s="14">
        <f>IF(AnzahlZahlungen&lt;&gt;"",Tabelle1[[#This Row],[Startsaldo]]*Zinssatz/12,"")</f>
        <v>0</v>
      </c>
      <c r="J506" s="13">
        <f>IF(AnzahlZahlungen&lt;&gt;0,Tabelle1[[#This Row],[Startsaldo]]-Tabelle1[[#This Row],[Zahlung gesamt]],"")</f>
        <v>0</v>
      </c>
      <c r="K506" s="14">
        <f>K505+Tabelle1[[#This Row],[Zinsleistung]]</f>
        <v>58389.377411997804</v>
      </c>
    </row>
    <row r="507" spans="2:11" x14ac:dyDescent="0.25">
      <c r="B507" s="11">
        <f t="shared" si="14"/>
        <v>492</v>
      </c>
      <c r="C507" s="12">
        <f>IF(1,Startdatum,"")</f>
        <v>43281</v>
      </c>
      <c r="D507" s="13">
        <f t="shared" si="15"/>
        <v>0</v>
      </c>
      <c r="E507" s="14">
        <f>IF(AnzahlZahlungen&lt;&gt;"",IF(Tabelle1[[#This Row],[Startsaldo]]&lt;Rate,Tabelle1[[#This Row],[Startsaldo]],Rate),"")</f>
        <v>0</v>
      </c>
      <c r="F507" s="19"/>
      <c r="G507" s="13">
        <f>Tabelle1[[#This Row],[Planmässige Zahlung ]]+Tabelle1[[#This Row],[Sonderzahlung]]</f>
        <v>0</v>
      </c>
      <c r="H507" s="14">
        <f>Tabelle1[[#This Row],[Zahlung gesamt]]-Tabelle1[[#This Row],[Zinsleistung]]</f>
        <v>0</v>
      </c>
      <c r="I507" s="14">
        <f>IF(AnzahlZahlungen&lt;&gt;"",Tabelle1[[#This Row],[Startsaldo]]*Zinssatz/12,"")</f>
        <v>0</v>
      </c>
      <c r="J507" s="13">
        <f>IF(AnzahlZahlungen&lt;&gt;0,Tabelle1[[#This Row],[Startsaldo]]-Tabelle1[[#This Row],[Zahlung gesamt]],"")</f>
        <v>0</v>
      </c>
      <c r="K507" s="14">
        <f>K506+Tabelle1[[#This Row],[Zinsleistung]]</f>
        <v>58389.377411997804</v>
      </c>
    </row>
    <row r="508" spans="2:11" x14ac:dyDescent="0.25">
      <c r="B508" s="11">
        <f t="shared" ref="B508:B571" si="16">B507+1</f>
        <v>493</v>
      </c>
      <c r="C508" s="12">
        <f>IF(1,Startdatum,"")</f>
        <v>43281</v>
      </c>
      <c r="D508" s="13">
        <f t="shared" si="15"/>
        <v>0</v>
      </c>
      <c r="E508" s="14">
        <f>IF(AnzahlZahlungen&lt;&gt;"",IF(Tabelle1[[#This Row],[Startsaldo]]&lt;Rate,Tabelle1[[#This Row],[Startsaldo]],Rate),"")</f>
        <v>0</v>
      </c>
      <c r="F508" s="19"/>
      <c r="G508" s="13">
        <f>Tabelle1[[#This Row],[Planmässige Zahlung ]]+Tabelle1[[#This Row],[Sonderzahlung]]</f>
        <v>0</v>
      </c>
      <c r="H508" s="14">
        <f>Tabelle1[[#This Row],[Zahlung gesamt]]-Tabelle1[[#This Row],[Zinsleistung]]</f>
        <v>0</v>
      </c>
      <c r="I508" s="14">
        <f>IF(AnzahlZahlungen&lt;&gt;"",Tabelle1[[#This Row],[Startsaldo]]*Zinssatz/12,"")</f>
        <v>0</v>
      </c>
      <c r="J508" s="13">
        <f>IF(AnzahlZahlungen&lt;&gt;0,Tabelle1[[#This Row],[Startsaldo]]-Tabelle1[[#This Row],[Zahlung gesamt]],"")</f>
        <v>0</v>
      </c>
      <c r="K508" s="14">
        <f>K507+Tabelle1[[#This Row],[Zinsleistung]]</f>
        <v>58389.377411997804</v>
      </c>
    </row>
    <row r="509" spans="2:11" x14ac:dyDescent="0.25">
      <c r="B509" s="11">
        <f t="shared" si="16"/>
        <v>494</v>
      </c>
      <c r="C509" s="12">
        <f>IF(1,Startdatum,"")</f>
        <v>43281</v>
      </c>
      <c r="D509" s="13">
        <f t="shared" si="15"/>
        <v>0</v>
      </c>
      <c r="E509" s="14">
        <f>IF(AnzahlZahlungen&lt;&gt;"",IF(Tabelle1[[#This Row],[Startsaldo]]&lt;Rate,Tabelle1[[#This Row],[Startsaldo]],Rate),"")</f>
        <v>0</v>
      </c>
      <c r="F509" s="19"/>
      <c r="G509" s="13">
        <f>Tabelle1[[#This Row],[Planmässige Zahlung ]]+Tabelle1[[#This Row],[Sonderzahlung]]</f>
        <v>0</v>
      </c>
      <c r="H509" s="14">
        <f>Tabelle1[[#This Row],[Zahlung gesamt]]-Tabelle1[[#This Row],[Zinsleistung]]</f>
        <v>0</v>
      </c>
      <c r="I509" s="14">
        <f>IF(AnzahlZahlungen&lt;&gt;"",Tabelle1[[#This Row],[Startsaldo]]*Zinssatz/12,"")</f>
        <v>0</v>
      </c>
      <c r="J509" s="13">
        <f>IF(AnzahlZahlungen&lt;&gt;0,Tabelle1[[#This Row],[Startsaldo]]-Tabelle1[[#This Row],[Zahlung gesamt]],"")</f>
        <v>0</v>
      </c>
      <c r="K509" s="14">
        <f>K508+Tabelle1[[#This Row],[Zinsleistung]]</f>
        <v>58389.377411997804</v>
      </c>
    </row>
    <row r="510" spans="2:11" x14ac:dyDescent="0.25">
      <c r="B510" s="11">
        <f t="shared" si="16"/>
        <v>495</v>
      </c>
      <c r="C510" s="12">
        <f>IF(1,Startdatum,"")</f>
        <v>43281</v>
      </c>
      <c r="D510" s="13">
        <f t="shared" si="15"/>
        <v>0</v>
      </c>
      <c r="E510" s="14">
        <f>IF(AnzahlZahlungen&lt;&gt;"",IF(Tabelle1[[#This Row],[Startsaldo]]&lt;Rate,Tabelle1[[#This Row],[Startsaldo]],Rate),"")</f>
        <v>0</v>
      </c>
      <c r="F510" s="19"/>
      <c r="G510" s="13">
        <f>Tabelle1[[#This Row],[Planmässige Zahlung ]]+Tabelle1[[#This Row],[Sonderzahlung]]</f>
        <v>0</v>
      </c>
      <c r="H510" s="14">
        <f>Tabelle1[[#This Row],[Zahlung gesamt]]-Tabelle1[[#This Row],[Zinsleistung]]</f>
        <v>0</v>
      </c>
      <c r="I510" s="14">
        <f>IF(AnzahlZahlungen&lt;&gt;"",Tabelle1[[#This Row],[Startsaldo]]*Zinssatz/12,"")</f>
        <v>0</v>
      </c>
      <c r="J510" s="13">
        <f>IF(AnzahlZahlungen&lt;&gt;0,Tabelle1[[#This Row],[Startsaldo]]-Tabelle1[[#This Row],[Zahlung gesamt]],"")</f>
        <v>0</v>
      </c>
      <c r="K510" s="14">
        <f>K509+Tabelle1[[#This Row],[Zinsleistung]]</f>
        <v>58389.377411997804</v>
      </c>
    </row>
    <row r="511" spans="2:11" x14ac:dyDescent="0.25">
      <c r="B511" s="11">
        <f t="shared" si="16"/>
        <v>496</v>
      </c>
      <c r="C511" s="12">
        <f>IF(1,Startdatum,"")</f>
        <v>43281</v>
      </c>
      <c r="D511" s="13">
        <f t="shared" si="15"/>
        <v>0</v>
      </c>
      <c r="E511" s="14">
        <f>IF(AnzahlZahlungen&lt;&gt;"",IF(Tabelle1[[#This Row],[Startsaldo]]&lt;Rate,Tabelle1[[#This Row],[Startsaldo]],Rate),"")</f>
        <v>0</v>
      </c>
      <c r="F511" s="19"/>
      <c r="G511" s="13">
        <f>Tabelle1[[#This Row],[Planmässige Zahlung ]]+Tabelle1[[#This Row],[Sonderzahlung]]</f>
        <v>0</v>
      </c>
      <c r="H511" s="14">
        <f>Tabelle1[[#This Row],[Zahlung gesamt]]-Tabelle1[[#This Row],[Zinsleistung]]</f>
        <v>0</v>
      </c>
      <c r="I511" s="14">
        <f>IF(AnzahlZahlungen&lt;&gt;"",Tabelle1[[#This Row],[Startsaldo]]*Zinssatz/12,"")</f>
        <v>0</v>
      </c>
      <c r="J511" s="13">
        <f>IF(AnzahlZahlungen&lt;&gt;0,Tabelle1[[#This Row],[Startsaldo]]-Tabelle1[[#This Row],[Zahlung gesamt]],"")</f>
        <v>0</v>
      </c>
      <c r="K511" s="14">
        <f>K510+Tabelle1[[#This Row],[Zinsleistung]]</f>
        <v>58389.377411997804</v>
      </c>
    </row>
    <row r="512" spans="2:11" x14ac:dyDescent="0.25">
      <c r="B512" s="11">
        <f t="shared" si="16"/>
        <v>497</v>
      </c>
      <c r="C512" s="12">
        <f>IF(1,Startdatum,"")</f>
        <v>43281</v>
      </c>
      <c r="D512" s="13">
        <f t="shared" si="15"/>
        <v>0</v>
      </c>
      <c r="E512" s="14">
        <f>IF(AnzahlZahlungen&lt;&gt;"",IF(Tabelle1[[#This Row],[Startsaldo]]&lt;Rate,Tabelle1[[#This Row],[Startsaldo]],Rate),"")</f>
        <v>0</v>
      </c>
      <c r="F512" s="19"/>
      <c r="G512" s="13">
        <f>Tabelle1[[#This Row],[Planmässige Zahlung ]]+Tabelle1[[#This Row],[Sonderzahlung]]</f>
        <v>0</v>
      </c>
      <c r="H512" s="14">
        <f>Tabelle1[[#This Row],[Zahlung gesamt]]-Tabelle1[[#This Row],[Zinsleistung]]</f>
        <v>0</v>
      </c>
      <c r="I512" s="14">
        <f>IF(AnzahlZahlungen&lt;&gt;"",Tabelle1[[#This Row],[Startsaldo]]*Zinssatz/12,"")</f>
        <v>0</v>
      </c>
      <c r="J512" s="13">
        <f>IF(AnzahlZahlungen&lt;&gt;0,Tabelle1[[#This Row],[Startsaldo]]-Tabelle1[[#This Row],[Zahlung gesamt]],"")</f>
        <v>0</v>
      </c>
      <c r="K512" s="14">
        <f>K511+Tabelle1[[#This Row],[Zinsleistung]]</f>
        <v>58389.377411997804</v>
      </c>
    </row>
    <row r="513" spans="2:11" x14ac:dyDescent="0.25">
      <c r="B513" s="11">
        <f t="shared" si="16"/>
        <v>498</v>
      </c>
      <c r="C513" s="12">
        <f>IF(1,Startdatum,"")</f>
        <v>43281</v>
      </c>
      <c r="D513" s="13">
        <f t="shared" si="15"/>
        <v>0</v>
      </c>
      <c r="E513" s="14">
        <f>IF(AnzahlZahlungen&lt;&gt;"",IF(Tabelle1[[#This Row],[Startsaldo]]&lt;Rate,Tabelle1[[#This Row],[Startsaldo]],Rate),"")</f>
        <v>0</v>
      </c>
      <c r="F513" s="19"/>
      <c r="G513" s="13">
        <f>Tabelle1[[#This Row],[Planmässige Zahlung ]]+Tabelle1[[#This Row],[Sonderzahlung]]</f>
        <v>0</v>
      </c>
      <c r="H513" s="14">
        <f>Tabelle1[[#This Row],[Zahlung gesamt]]-Tabelle1[[#This Row],[Zinsleistung]]</f>
        <v>0</v>
      </c>
      <c r="I513" s="14">
        <f>IF(AnzahlZahlungen&lt;&gt;"",Tabelle1[[#This Row],[Startsaldo]]*Zinssatz/12,"")</f>
        <v>0</v>
      </c>
      <c r="J513" s="13">
        <f>IF(AnzahlZahlungen&lt;&gt;0,Tabelle1[[#This Row],[Startsaldo]]-Tabelle1[[#This Row],[Zahlung gesamt]],"")</f>
        <v>0</v>
      </c>
      <c r="K513" s="14">
        <f>K512+Tabelle1[[#This Row],[Zinsleistung]]</f>
        <v>58389.377411997804</v>
      </c>
    </row>
    <row r="514" spans="2:11" x14ac:dyDescent="0.25">
      <c r="B514" s="11">
        <f t="shared" si="16"/>
        <v>499</v>
      </c>
      <c r="C514" s="12">
        <f>IF(1,Startdatum,"")</f>
        <v>43281</v>
      </c>
      <c r="D514" s="13">
        <f t="shared" si="15"/>
        <v>0</v>
      </c>
      <c r="E514" s="14">
        <f>IF(AnzahlZahlungen&lt;&gt;"",IF(Tabelle1[[#This Row],[Startsaldo]]&lt;Rate,Tabelle1[[#This Row],[Startsaldo]],Rate),"")</f>
        <v>0</v>
      </c>
      <c r="F514" s="19"/>
      <c r="G514" s="13">
        <f>Tabelle1[[#This Row],[Planmässige Zahlung ]]+Tabelle1[[#This Row],[Sonderzahlung]]</f>
        <v>0</v>
      </c>
      <c r="H514" s="14">
        <f>Tabelle1[[#This Row],[Zahlung gesamt]]-Tabelle1[[#This Row],[Zinsleistung]]</f>
        <v>0</v>
      </c>
      <c r="I514" s="14">
        <f>IF(AnzahlZahlungen&lt;&gt;"",Tabelle1[[#This Row],[Startsaldo]]*Zinssatz/12,"")</f>
        <v>0</v>
      </c>
      <c r="J514" s="13">
        <f>IF(AnzahlZahlungen&lt;&gt;0,Tabelle1[[#This Row],[Startsaldo]]-Tabelle1[[#This Row],[Zahlung gesamt]],"")</f>
        <v>0</v>
      </c>
      <c r="K514" s="14">
        <f>K513+Tabelle1[[#This Row],[Zinsleistung]]</f>
        <v>58389.377411997804</v>
      </c>
    </row>
    <row r="515" spans="2:11" x14ac:dyDescent="0.25">
      <c r="B515" s="11">
        <f t="shared" si="16"/>
        <v>500</v>
      </c>
      <c r="C515" s="12">
        <f>IF(1,Startdatum,"")</f>
        <v>43281</v>
      </c>
      <c r="D515" s="13">
        <f t="shared" si="15"/>
        <v>0</v>
      </c>
      <c r="E515" s="14">
        <f>IF(AnzahlZahlungen&lt;&gt;"",IF(Tabelle1[[#This Row],[Startsaldo]]&lt;Rate,Tabelle1[[#This Row],[Startsaldo]],Rate),"")</f>
        <v>0</v>
      </c>
      <c r="F515" s="19"/>
      <c r="G515" s="13">
        <f>Tabelle1[[#This Row],[Planmässige Zahlung ]]+Tabelle1[[#This Row],[Sonderzahlung]]</f>
        <v>0</v>
      </c>
      <c r="H515" s="14">
        <f>Tabelle1[[#This Row],[Zahlung gesamt]]-Tabelle1[[#This Row],[Zinsleistung]]</f>
        <v>0</v>
      </c>
      <c r="I515" s="14">
        <f>IF(AnzahlZahlungen&lt;&gt;"",Tabelle1[[#This Row],[Startsaldo]]*Zinssatz/12,"")</f>
        <v>0</v>
      </c>
      <c r="J515" s="13">
        <f>IF(AnzahlZahlungen&lt;&gt;0,Tabelle1[[#This Row],[Startsaldo]]-Tabelle1[[#This Row],[Zahlung gesamt]],"")</f>
        <v>0</v>
      </c>
      <c r="K515" s="14">
        <f>K514+Tabelle1[[#This Row],[Zinsleistung]]</f>
        <v>58389.377411997804</v>
      </c>
    </row>
    <row r="516" spans="2:11" x14ac:dyDescent="0.25">
      <c r="B516" s="11">
        <f t="shared" si="16"/>
        <v>501</v>
      </c>
      <c r="C516" s="12">
        <f>IF(1,Startdatum,"")</f>
        <v>43281</v>
      </c>
      <c r="D516" s="13">
        <f t="shared" si="15"/>
        <v>0</v>
      </c>
      <c r="E516" s="14">
        <f>IF(AnzahlZahlungen&lt;&gt;"",IF(Tabelle1[[#This Row],[Startsaldo]]&lt;Rate,Tabelle1[[#This Row],[Startsaldo]],Rate),"")</f>
        <v>0</v>
      </c>
      <c r="F516" s="19"/>
      <c r="G516" s="13">
        <f>Tabelle1[[#This Row],[Planmässige Zahlung ]]+Tabelle1[[#This Row],[Sonderzahlung]]</f>
        <v>0</v>
      </c>
      <c r="H516" s="14">
        <f>Tabelle1[[#This Row],[Zahlung gesamt]]-Tabelle1[[#This Row],[Zinsleistung]]</f>
        <v>0</v>
      </c>
      <c r="I516" s="14">
        <f>IF(AnzahlZahlungen&lt;&gt;"",Tabelle1[[#This Row],[Startsaldo]]*Zinssatz/12,"")</f>
        <v>0</v>
      </c>
      <c r="J516" s="13">
        <f>IF(AnzahlZahlungen&lt;&gt;0,Tabelle1[[#This Row],[Startsaldo]]-Tabelle1[[#This Row],[Zahlung gesamt]],"")</f>
        <v>0</v>
      </c>
      <c r="K516" s="14">
        <f>K515+Tabelle1[[#This Row],[Zinsleistung]]</f>
        <v>58389.377411997804</v>
      </c>
    </row>
    <row r="517" spans="2:11" x14ac:dyDescent="0.25">
      <c r="B517" s="11">
        <f t="shared" si="16"/>
        <v>502</v>
      </c>
      <c r="C517" s="12">
        <f>IF(1,Startdatum,"")</f>
        <v>43281</v>
      </c>
      <c r="D517" s="13">
        <f t="shared" si="15"/>
        <v>0</v>
      </c>
      <c r="E517" s="14">
        <f>IF(AnzahlZahlungen&lt;&gt;"",IF(Tabelle1[[#This Row],[Startsaldo]]&lt;Rate,Tabelle1[[#This Row],[Startsaldo]],Rate),"")</f>
        <v>0</v>
      </c>
      <c r="F517" s="19"/>
      <c r="G517" s="13">
        <f>Tabelle1[[#This Row],[Planmässige Zahlung ]]+Tabelle1[[#This Row],[Sonderzahlung]]</f>
        <v>0</v>
      </c>
      <c r="H517" s="14">
        <f>Tabelle1[[#This Row],[Zahlung gesamt]]-Tabelle1[[#This Row],[Zinsleistung]]</f>
        <v>0</v>
      </c>
      <c r="I517" s="14">
        <f>IF(AnzahlZahlungen&lt;&gt;"",Tabelle1[[#This Row],[Startsaldo]]*Zinssatz/12,"")</f>
        <v>0</v>
      </c>
      <c r="J517" s="13">
        <f>IF(AnzahlZahlungen&lt;&gt;0,Tabelle1[[#This Row],[Startsaldo]]-Tabelle1[[#This Row],[Zahlung gesamt]],"")</f>
        <v>0</v>
      </c>
      <c r="K517" s="14">
        <f>K516+Tabelle1[[#This Row],[Zinsleistung]]</f>
        <v>58389.377411997804</v>
      </c>
    </row>
    <row r="518" spans="2:11" x14ac:dyDescent="0.25">
      <c r="B518" s="11">
        <f t="shared" si="16"/>
        <v>503</v>
      </c>
      <c r="C518" s="12">
        <f>IF(1,Startdatum,"")</f>
        <v>43281</v>
      </c>
      <c r="D518" s="13">
        <f t="shared" si="15"/>
        <v>0</v>
      </c>
      <c r="E518" s="14">
        <f>IF(AnzahlZahlungen&lt;&gt;"",IF(Tabelle1[[#This Row],[Startsaldo]]&lt;Rate,Tabelle1[[#This Row],[Startsaldo]],Rate),"")</f>
        <v>0</v>
      </c>
      <c r="F518" s="19"/>
      <c r="G518" s="13">
        <f>Tabelle1[[#This Row],[Planmässige Zahlung ]]+Tabelle1[[#This Row],[Sonderzahlung]]</f>
        <v>0</v>
      </c>
      <c r="H518" s="14">
        <f>Tabelle1[[#This Row],[Zahlung gesamt]]-Tabelle1[[#This Row],[Zinsleistung]]</f>
        <v>0</v>
      </c>
      <c r="I518" s="14">
        <f>IF(AnzahlZahlungen&lt;&gt;"",Tabelle1[[#This Row],[Startsaldo]]*Zinssatz/12,"")</f>
        <v>0</v>
      </c>
      <c r="J518" s="13">
        <f>IF(AnzahlZahlungen&lt;&gt;0,Tabelle1[[#This Row],[Startsaldo]]-Tabelle1[[#This Row],[Zahlung gesamt]],"")</f>
        <v>0</v>
      </c>
      <c r="K518" s="14">
        <f>K517+Tabelle1[[#This Row],[Zinsleistung]]</f>
        <v>58389.377411997804</v>
      </c>
    </row>
    <row r="519" spans="2:11" x14ac:dyDescent="0.25">
      <c r="B519" s="11">
        <f t="shared" si="16"/>
        <v>504</v>
      </c>
      <c r="C519" s="12">
        <f>IF(1,Startdatum,"")</f>
        <v>43281</v>
      </c>
      <c r="D519" s="13">
        <f t="shared" si="15"/>
        <v>0</v>
      </c>
      <c r="E519" s="14">
        <f>IF(AnzahlZahlungen&lt;&gt;"",IF(Tabelle1[[#This Row],[Startsaldo]]&lt;Rate,Tabelle1[[#This Row],[Startsaldo]],Rate),"")</f>
        <v>0</v>
      </c>
      <c r="F519" s="19"/>
      <c r="G519" s="13">
        <f>Tabelle1[[#This Row],[Planmässige Zahlung ]]+Tabelle1[[#This Row],[Sonderzahlung]]</f>
        <v>0</v>
      </c>
      <c r="H519" s="14">
        <f>Tabelle1[[#This Row],[Zahlung gesamt]]-Tabelle1[[#This Row],[Zinsleistung]]</f>
        <v>0</v>
      </c>
      <c r="I519" s="14">
        <f>IF(AnzahlZahlungen&lt;&gt;"",Tabelle1[[#This Row],[Startsaldo]]*Zinssatz/12,"")</f>
        <v>0</v>
      </c>
      <c r="J519" s="13">
        <f>IF(AnzahlZahlungen&lt;&gt;0,Tabelle1[[#This Row],[Startsaldo]]-Tabelle1[[#This Row],[Zahlung gesamt]],"")</f>
        <v>0</v>
      </c>
      <c r="K519" s="14">
        <f>K518+Tabelle1[[#This Row],[Zinsleistung]]</f>
        <v>58389.377411997804</v>
      </c>
    </row>
    <row r="520" spans="2:11" x14ac:dyDescent="0.25">
      <c r="B520" s="11">
        <f t="shared" si="16"/>
        <v>505</v>
      </c>
      <c r="C520" s="12">
        <f>IF(1,Startdatum,"")</f>
        <v>43281</v>
      </c>
      <c r="D520" s="13">
        <f t="shared" si="15"/>
        <v>0</v>
      </c>
      <c r="E520" s="14">
        <f>IF(AnzahlZahlungen&lt;&gt;"",IF(Tabelle1[[#This Row],[Startsaldo]]&lt;Rate,Tabelle1[[#This Row],[Startsaldo]],Rate),"")</f>
        <v>0</v>
      </c>
      <c r="F520" s="19"/>
      <c r="G520" s="13">
        <f>Tabelle1[[#This Row],[Planmässige Zahlung ]]+Tabelle1[[#This Row],[Sonderzahlung]]</f>
        <v>0</v>
      </c>
      <c r="H520" s="14">
        <f>Tabelle1[[#This Row],[Zahlung gesamt]]-Tabelle1[[#This Row],[Zinsleistung]]</f>
        <v>0</v>
      </c>
      <c r="I520" s="14">
        <f>IF(AnzahlZahlungen&lt;&gt;"",Tabelle1[[#This Row],[Startsaldo]]*Zinssatz/12,"")</f>
        <v>0</v>
      </c>
      <c r="J520" s="13">
        <f>IF(AnzahlZahlungen&lt;&gt;0,Tabelle1[[#This Row],[Startsaldo]]-Tabelle1[[#This Row],[Zahlung gesamt]],"")</f>
        <v>0</v>
      </c>
      <c r="K520" s="14">
        <f>K519+Tabelle1[[#This Row],[Zinsleistung]]</f>
        <v>58389.377411997804</v>
      </c>
    </row>
    <row r="521" spans="2:11" x14ac:dyDescent="0.25">
      <c r="B521" s="11">
        <f t="shared" si="16"/>
        <v>506</v>
      </c>
      <c r="C521" s="12">
        <f>IF(1,Startdatum,"")</f>
        <v>43281</v>
      </c>
      <c r="D521" s="13">
        <f t="shared" si="15"/>
        <v>0</v>
      </c>
      <c r="E521" s="14">
        <f>IF(AnzahlZahlungen&lt;&gt;"",IF(Tabelle1[[#This Row],[Startsaldo]]&lt;Rate,Tabelle1[[#This Row],[Startsaldo]],Rate),"")</f>
        <v>0</v>
      </c>
      <c r="F521" s="19"/>
      <c r="G521" s="13">
        <f>Tabelle1[[#This Row],[Planmässige Zahlung ]]+Tabelle1[[#This Row],[Sonderzahlung]]</f>
        <v>0</v>
      </c>
      <c r="H521" s="14">
        <f>Tabelle1[[#This Row],[Zahlung gesamt]]-Tabelle1[[#This Row],[Zinsleistung]]</f>
        <v>0</v>
      </c>
      <c r="I521" s="14">
        <f>IF(AnzahlZahlungen&lt;&gt;"",Tabelle1[[#This Row],[Startsaldo]]*Zinssatz/12,"")</f>
        <v>0</v>
      </c>
      <c r="J521" s="13">
        <f>IF(AnzahlZahlungen&lt;&gt;0,Tabelle1[[#This Row],[Startsaldo]]-Tabelle1[[#This Row],[Zahlung gesamt]],"")</f>
        <v>0</v>
      </c>
      <c r="K521" s="14">
        <f>K520+Tabelle1[[#This Row],[Zinsleistung]]</f>
        <v>58389.377411997804</v>
      </c>
    </row>
    <row r="522" spans="2:11" x14ac:dyDescent="0.25">
      <c r="B522" s="11">
        <f t="shared" si="16"/>
        <v>507</v>
      </c>
      <c r="C522" s="12">
        <f>IF(1,Startdatum,"")</f>
        <v>43281</v>
      </c>
      <c r="D522" s="13">
        <f t="shared" si="15"/>
        <v>0</v>
      </c>
      <c r="E522" s="14">
        <f>IF(AnzahlZahlungen&lt;&gt;"",IF(Tabelle1[[#This Row],[Startsaldo]]&lt;Rate,Tabelle1[[#This Row],[Startsaldo]],Rate),"")</f>
        <v>0</v>
      </c>
      <c r="F522" s="19"/>
      <c r="G522" s="13">
        <f>Tabelle1[[#This Row],[Planmässige Zahlung ]]+Tabelle1[[#This Row],[Sonderzahlung]]</f>
        <v>0</v>
      </c>
      <c r="H522" s="14">
        <f>Tabelle1[[#This Row],[Zahlung gesamt]]-Tabelle1[[#This Row],[Zinsleistung]]</f>
        <v>0</v>
      </c>
      <c r="I522" s="14">
        <f>IF(AnzahlZahlungen&lt;&gt;"",Tabelle1[[#This Row],[Startsaldo]]*Zinssatz/12,"")</f>
        <v>0</v>
      </c>
      <c r="J522" s="13">
        <f>IF(AnzahlZahlungen&lt;&gt;0,Tabelle1[[#This Row],[Startsaldo]]-Tabelle1[[#This Row],[Zahlung gesamt]],"")</f>
        <v>0</v>
      </c>
      <c r="K522" s="14">
        <f>K521+Tabelle1[[#This Row],[Zinsleistung]]</f>
        <v>58389.377411997804</v>
      </c>
    </row>
    <row r="523" spans="2:11" x14ac:dyDescent="0.25">
      <c r="B523" s="11">
        <f t="shared" si="16"/>
        <v>508</v>
      </c>
      <c r="C523" s="12">
        <f>IF(1,Startdatum,"")</f>
        <v>43281</v>
      </c>
      <c r="D523" s="13">
        <f t="shared" si="15"/>
        <v>0</v>
      </c>
      <c r="E523" s="14">
        <f>IF(AnzahlZahlungen&lt;&gt;"",IF(Tabelle1[[#This Row],[Startsaldo]]&lt;Rate,Tabelle1[[#This Row],[Startsaldo]],Rate),"")</f>
        <v>0</v>
      </c>
      <c r="F523" s="19"/>
      <c r="G523" s="13">
        <f>Tabelle1[[#This Row],[Planmässige Zahlung ]]+Tabelle1[[#This Row],[Sonderzahlung]]</f>
        <v>0</v>
      </c>
      <c r="H523" s="14">
        <f>Tabelle1[[#This Row],[Zahlung gesamt]]-Tabelle1[[#This Row],[Zinsleistung]]</f>
        <v>0</v>
      </c>
      <c r="I523" s="14">
        <f>IF(AnzahlZahlungen&lt;&gt;"",Tabelle1[[#This Row],[Startsaldo]]*Zinssatz/12,"")</f>
        <v>0</v>
      </c>
      <c r="J523" s="13">
        <f>IF(AnzahlZahlungen&lt;&gt;0,Tabelle1[[#This Row],[Startsaldo]]-Tabelle1[[#This Row],[Zahlung gesamt]],"")</f>
        <v>0</v>
      </c>
      <c r="K523" s="14">
        <f>K522+Tabelle1[[#This Row],[Zinsleistung]]</f>
        <v>58389.377411997804</v>
      </c>
    </row>
    <row r="524" spans="2:11" x14ac:dyDescent="0.25">
      <c r="B524" s="11">
        <f t="shared" si="16"/>
        <v>509</v>
      </c>
      <c r="C524" s="12">
        <f>IF(1,Startdatum,"")</f>
        <v>43281</v>
      </c>
      <c r="D524" s="13">
        <f t="shared" si="15"/>
        <v>0</v>
      </c>
      <c r="E524" s="14">
        <f>IF(AnzahlZahlungen&lt;&gt;"",IF(Tabelle1[[#This Row],[Startsaldo]]&lt;Rate,Tabelle1[[#This Row],[Startsaldo]],Rate),"")</f>
        <v>0</v>
      </c>
      <c r="F524" s="19"/>
      <c r="G524" s="13">
        <f>Tabelle1[[#This Row],[Planmässige Zahlung ]]+Tabelle1[[#This Row],[Sonderzahlung]]</f>
        <v>0</v>
      </c>
      <c r="H524" s="14">
        <f>Tabelle1[[#This Row],[Zahlung gesamt]]-Tabelle1[[#This Row],[Zinsleistung]]</f>
        <v>0</v>
      </c>
      <c r="I524" s="14">
        <f>IF(AnzahlZahlungen&lt;&gt;"",Tabelle1[[#This Row],[Startsaldo]]*Zinssatz/12,"")</f>
        <v>0</v>
      </c>
      <c r="J524" s="13">
        <f>IF(AnzahlZahlungen&lt;&gt;0,Tabelle1[[#This Row],[Startsaldo]]-Tabelle1[[#This Row],[Zahlung gesamt]],"")</f>
        <v>0</v>
      </c>
      <c r="K524" s="14">
        <f>K523+Tabelle1[[#This Row],[Zinsleistung]]</f>
        <v>58389.377411997804</v>
      </c>
    </row>
    <row r="525" spans="2:11" x14ac:dyDescent="0.25">
      <c r="B525" s="11">
        <f t="shared" si="16"/>
        <v>510</v>
      </c>
      <c r="C525" s="12">
        <f>IF(1,Startdatum,"")</f>
        <v>43281</v>
      </c>
      <c r="D525" s="13">
        <f t="shared" si="15"/>
        <v>0</v>
      </c>
      <c r="E525" s="14">
        <f>IF(AnzahlZahlungen&lt;&gt;"",IF(Tabelle1[[#This Row],[Startsaldo]]&lt;Rate,Tabelle1[[#This Row],[Startsaldo]],Rate),"")</f>
        <v>0</v>
      </c>
      <c r="F525" s="19"/>
      <c r="G525" s="13">
        <f>Tabelle1[[#This Row],[Planmässige Zahlung ]]+Tabelle1[[#This Row],[Sonderzahlung]]</f>
        <v>0</v>
      </c>
      <c r="H525" s="14">
        <f>Tabelle1[[#This Row],[Zahlung gesamt]]-Tabelle1[[#This Row],[Zinsleistung]]</f>
        <v>0</v>
      </c>
      <c r="I525" s="14">
        <f>IF(AnzahlZahlungen&lt;&gt;"",Tabelle1[[#This Row],[Startsaldo]]*Zinssatz/12,"")</f>
        <v>0</v>
      </c>
      <c r="J525" s="13">
        <f>IF(AnzahlZahlungen&lt;&gt;0,Tabelle1[[#This Row],[Startsaldo]]-Tabelle1[[#This Row],[Zahlung gesamt]],"")</f>
        <v>0</v>
      </c>
      <c r="K525" s="14">
        <f>K524+Tabelle1[[#This Row],[Zinsleistung]]</f>
        <v>58389.377411997804</v>
      </c>
    </row>
    <row r="526" spans="2:11" x14ac:dyDescent="0.25">
      <c r="B526" s="11">
        <f t="shared" si="16"/>
        <v>511</v>
      </c>
      <c r="C526" s="12">
        <f>IF(1,Startdatum,"")</f>
        <v>43281</v>
      </c>
      <c r="D526" s="13">
        <f t="shared" si="15"/>
        <v>0</v>
      </c>
      <c r="E526" s="14">
        <f>IF(AnzahlZahlungen&lt;&gt;"",IF(Tabelle1[[#This Row],[Startsaldo]]&lt;Rate,Tabelle1[[#This Row],[Startsaldo]],Rate),"")</f>
        <v>0</v>
      </c>
      <c r="F526" s="19"/>
      <c r="G526" s="13">
        <f>Tabelle1[[#This Row],[Planmässige Zahlung ]]+Tabelle1[[#This Row],[Sonderzahlung]]</f>
        <v>0</v>
      </c>
      <c r="H526" s="14">
        <f>Tabelle1[[#This Row],[Zahlung gesamt]]-Tabelle1[[#This Row],[Zinsleistung]]</f>
        <v>0</v>
      </c>
      <c r="I526" s="14">
        <f>IF(AnzahlZahlungen&lt;&gt;"",Tabelle1[[#This Row],[Startsaldo]]*Zinssatz/12,"")</f>
        <v>0</v>
      </c>
      <c r="J526" s="13">
        <f>IF(AnzahlZahlungen&lt;&gt;0,Tabelle1[[#This Row],[Startsaldo]]-Tabelle1[[#This Row],[Zahlung gesamt]],"")</f>
        <v>0</v>
      </c>
      <c r="K526" s="14">
        <f>K525+Tabelle1[[#This Row],[Zinsleistung]]</f>
        <v>58389.377411997804</v>
      </c>
    </row>
    <row r="527" spans="2:11" x14ac:dyDescent="0.25">
      <c r="B527" s="11">
        <f t="shared" si="16"/>
        <v>512</v>
      </c>
      <c r="C527" s="12">
        <f>IF(1,Startdatum,"")</f>
        <v>43281</v>
      </c>
      <c r="D527" s="13">
        <f t="shared" si="15"/>
        <v>0</v>
      </c>
      <c r="E527" s="14">
        <f>IF(AnzahlZahlungen&lt;&gt;"",IF(Tabelle1[[#This Row],[Startsaldo]]&lt;Rate,Tabelle1[[#This Row],[Startsaldo]],Rate),"")</f>
        <v>0</v>
      </c>
      <c r="F527" s="19"/>
      <c r="G527" s="13">
        <f>Tabelle1[[#This Row],[Planmässige Zahlung ]]+Tabelle1[[#This Row],[Sonderzahlung]]</f>
        <v>0</v>
      </c>
      <c r="H527" s="14">
        <f>Tabelle1[[#This Row],[Zahlung gesamt]]-Tabelle1[[#This Row],[Zinsleistung]]</f>
        <v>0</v>
      </c>
      <c r="I527" s="14">
        <f>IF(AnzahlZahlungen&lt;&gt;"",Tabelle1[[#This Row],[Startsaldo]]*Zinssatz/12,"")</f>
        <v>0</v>
      </c>
      <c r="J527" s="13">
        <f>IF(AnzahlZahlungen&lt;&gt;0,Tabelle1[[#This Row],[Startsaldo]]-Tabelle1[[#This Row],[Zahlung gesamt]],"")</f>
        <v>0</v>
      </c>
      <c r="K527" s="14">
        <f>K526+Tabelle1[[#This Row],[Zinsleistung]]</f>
        <v>58389.377411997804</v>
      </c>
    </row>
    <row r="528" spans="2:11" x14ac:dyDescent="0.25">
      <c r="B528" s="11">
        <f t="shared" si="16"/>
        <v>513</v>
      </c>
      <c r="C528" s="12">
        <f>IF(1,Startdatum,"")</f>
        <v>43281</v>
      </c>
      <c r="D528" s="13">
        <f t="shared" si="15"/>
        <v>0</v>
      </c>
      <c r="E528" s="14">
        <f>IF(AnzahlZahlungen&lt;&gt;"",IF(Tabelle1[[#This Row],[Startsaldo]]&lt;Rate,Tabelle1[[#This Row],[Startsaldo]],Rate),"")</f>
        <v>0</v>
      </c>
      <c r="F528" s="19"/>
      <c r="G528" s="13">
        <f>Tabelle1[[#This Row],[Planmässige Zahlung ]]+Tabelle1[[#This Row],[Sonderzahlung]]</f>
        <v>0</v>
      </c>
      <c r="H528" s="14">
        <f>Tabelle1[[#This Row],[Zahlung gesamt]]-Tabelle1[[#This Row],[Zinsleistung]]</f>
        <v>0</v>
      </c>
      <c r="I528" s="14">
        <f>IF(AnzahlZahlungen&lt;&gt;"",Tabelle1[[#This Row],[Startsaldo]]*Zinssatz/12,"")</f>
        <v>0</v>
      </c>
      <c r="J528" s="13">
        <f>IF(AnzahlZahlungen&lt;&gt;0,Tabelle1[[#This Row],[Startsaldo]]-Tabelle1[[#This Row],[Zahlung gesamt]],"")</f>
        <v>0</v>
      </c>
      <c r="K528" s="14">
        <f>K527+Tabelle1[[#This Row],[Zinsleistung]]</f>
        <v>58389.377411997804</v>
      </c>
    </row>
    <row r="529" spans="2:11" x14ac:dyDescent="0.25">
      <c r="B529" s="11">
        <f t="shared" si="16"/>
        <v>514</v>
      </c>
      <c r="C529" s="12">
        <f>IF(1,Startdatum,"")</f>
        <v>43281</v>
      </c>
      <c r="D529" s="13">
        <f t="shared" ref="D529:D592" si="17">IF(D528&lt;=Rate,0,D528-H528)</f>
        <v>0</v>
      </c>
      <c r="E529" s="14">
        <f>IF(AnzahlZahlungen&lt;&gt;"",IF(Tabelle1[[#This Row],[Startsaldo]]&lt;Rate,Tabelle1[[#This Row],[Startsaldo]],Rate),"")</f>
        <v>0</v>
      </c>
      <c r="F529" s="19"/>
      <c r="G529" s="13">
        <f>Tabelle1[[#This Row],[Planmässige Zahlung ]]+Tabelle1[[#This Row],[Sonderzahlung]]</f>
        <v>0</v>
      </c>
      <c r="H529" s="14">
        <f>Tabelle1[[#This Row],[Zahlung gesamt]]-Tabelle1[[#This Row],[Zinsleistung]]</f>
        <v>0</v>
      </c>
      <c r="I529" s="14">
        <f>IF(AnzahlZahlungen&lt;&gt;"",Tabelle1[[#This Row],[Startsaldo]]*Zinssatz/12,"")</f>
        <v>0</v>
      </c>
      <c r="J529" s="13">
        <f>IF(AnzahlZahlungen&lt;&gt;0,Tabelle1[[#This Row],[Startsaldo]]-Tabelle1[[#This Row],[Zahlung gesamt]],"")</f>
        <v>0</v>
      </c>
      <c r="K529" s="14">
        <f>K528+Tabelle1[[#This Row],[Zinsleistung]]</f>
        <v>58389.377411997804</v>
      </c>
    </row>
    <row r="530" spans="2:11" x14ac:dyDescent="0.25">
      <c r="B530" s="11">
        <f t="shared" si="16"/>
        <v>515</v>
      </c>
      <c r="C530" s="12">
        <f>IF(1,Startdatum,"")</f>
        <v>43281</v>
      </c>
      <c r="D530" s="13">
        <f t="shared" si="17"/>
        <v>0</v>
      </c>
      <c r="E530" s="14">
        <f>IF(AnzahlZahlungen&lt;&gt;"",IF(Tabelle1[[#This Row],[Startsaldo]]&lt;Rate,Tabelle1[[#This Row],[Startsaldo]],Rate),"")</f>
        <v>0</v>
      </c>
      <c r="F530" s="19"/>
      <c r="G530" s="13">
        <f>Tabelle1[[#This Row],[Planmässige Zahlung ]]+Tabelle1[[#This Row],[Sonderzahlung]]</f>
        <v>0</v>
      </c>
      <c r="H530" s="14">
        <f>Tabelle1[[#This Row],[Zahlung gesamt]]-Tabelle1[[#This Row],[Zinsleistung]]</f>
        <v>0</v>
      </c>
      <c r="I530" s="14">
        <f>IF(AnzahlZahlungen&lt;&gt;"",Tabelle1[[#This Row],[Startsaldo]]*Zinssatz/12,"")</f>
        <v>0</v>
      </c>
      <c r="J530" s="13">
        <f>IF(AnzahlZahlungen&lt;&gt;0,Tabelle1[[#This Row],[Startsaldo]]-Tabelle1[[#This Row],[Zahlung gesamt]],"")</f>
        <v>0</v>
      </c>
      <c r="K530" s="14">
        <f>K529+Tabelle1[[#This Row],[Zinsleistung]]</f>
        <v>58389.377411997804</v>
      </c>
    </row>
    <row r="531" spans="2:11" x14ac:dyDescent="0.25">
      <c r="B531" s="11">
        <f t="shared" si="16"/>
        <v>516</v>
      </c>
      <c r="C531" s="12">
        <f>IF(1,Startdatum,"")</f>
        <v>43281</v>
      </c>
      <c r="D531" s="13">
        <f t="shared" si="17"/>
        <v>0</v>
      </c>
      <c r="E531" s="14">
        <f>IF(AnzahlZahlungen&lt;&gt;"",IF(Tabelle1[[#This Row],[Startsaldo]]&lt;Rate,Tabelle1[[#This Row],[Startsaldo]],Rate),"")</f>
        <v>0</v>
      </c>
      <c r="F531" s="19"/>
      <c r="G531" s="13">
        <f>Tabelle1[[#This Row],[Planmässige Zahlung ]]+Tabelle1[[#This Row],[Sonderzahlung]]</f>
        <v>0</v>
      </c>
      <c r="H531" s="14">
        <f>Tabelle1[[#This Row],[Zahlung gesamt]]-Tabelle1[[#This Row],[Zinsleistung]]</f>
        <v>0</v>
      </c>
      <c r="I531" s="14">
        <f>IF(AnzahlZahlungen&lt;&gt;"",Tabelle1[[#This Row],[Startsaldo]]*Zinssatz/12,"")</f>
        <v>0</v>
      </c>
      <c r="J531" s="13">
        <f>IF(AnzahlZahlungen&lt;&gt;0,Tabelle1[[#This Row],[Startsaldo]]-Tabelle1[[#This Row],[Zahlung gesamt]],"")</f>
        <v>0</v>
      </c>
      <c r="K531" s="14">
        <f>K530+Tabelle1[[#This Row],[Zinsleistung]]</f>
        <v>58389.377411997804</v>
      </c>
    </row>
    <row r="532" spans="2:11" x14ac:dyDescent="0.25">
      <c r="B532" s="11">
        <f t="shared" si="16"/>
        <v>517</v>
      </c>
      <c r="C532" s="12">
        <f>IF(1,Startdatum,"")</f>
        <v>43281</v>
      </c>
      <c r="D532" s="13">
        <f t="shared" si="17"/>
        <v>0</v>
      </c>
      <c r="E532" s="14">
        <f>IF(AnzahlZahlungen&lt;&gt;"",IF(Tabelle1[[#This Row],[Startsaldo]]&lt;Rate,Tabelle1[[#This Row],[Startsaldo]],Rate),"")</f>
        <v>0</v>
      </c>
      <c r="F532" s="19"/>
      <c r="G532" s="13">
        <f>Tabelle1[[#This Row],[Planmässige Zahlung ]]+Tabelle1[[#This Row],[Sonderzahlung]]</f>
        <v>0</v>
      </c>
      <c r="H532" s="14">
        <f>Tabelle1[[#This Row],[Zahlung gesamt]]-Tabelle1[[#This Row],[Zinsleistung]]</f>
        <v>0</v>
      </c>
      <c r="I532" s="14">
        <f>IF(AnzahlZahlungen&lt;&gt;"",Tabelle1[[#This Row],[Startsaldo]]*Zinssatz/12,"")</f>
        <v>0</v>
      </c>
      <c r="J532" s="13">
        <f>IF(AnzahlZahlungen&lt;&gt;0,Tabelle1[[#This Row],[Startsaldo]]-Tabelle1[[#This Row],[Zahlung gesamt]],"")</f>
        <v>0</v>
      </c>
      <c r="K532" s="14">
        <f>K531+Tabelle1[[#This Row],[Zinsleistung]]</f>
        <v>58389.377411997804</v>
      </c>
    </row>
    <row r="533" spans="2:11" x14ac:dyDescent="0.25">
      <c r="B533" s="11">
        <f t="shared" si="16"/>
        <v>518</v>
      </c>
      <c r="C533" s="12">
        <f>IF(1,Startdatum,"")</f>
        <v>43281</v>
      </c>
      <c r="D533" s="13">
        <f t="shared" si="17"/>
        <v>0</v>
      </c>
      <c r="E533" s="14">
        <f>IF(AnzahlZahlungen&lt;&gt;"",IF(Tabelle1[[#This Row],[Startsaldo]]&lt;Rate,Tabelle1[[#This Row],[Startsaldo]],Rate),"")</f>
        <v>0</v>
      </c>
      <c r="F533" s="19"/>
      <c r="G533" s="13">
        <f>Tabelle1[[#This Row],[Planmässige Zahlung ]]+Tabelle1[[#This Row],[Sonderzahlung]]</f>
        <v>0</v>
      </c>
      <c r="H533" s="14">
        <f>Tabelle1[[#This Row],[Zahlung gesamt]]-Tabelle1[[#This Row],[Zinsleistung]]</f>
        <v>0</v>
      </c>
      <c r="I533" s="14">
        <f>IF(AnzahlZahlungen&lt;&gt;"",Tabelle1[[#This Row],[Startsaldo]]*Zinssatz/12,"")</f>
        <v>0</v>
      </c>
      <c r="J533" s="13">
        <f>IF(AnzahlZahlungen&lt;&gt;0,Tabelle1[[#This Row],[Startsaldo]]-Tabelle1[[#This Row],[Zahlung gesamt]],"")</f>
        <v>0</v>
      </c>
      <c r="K533" s="14">
        <f>K532+Tabelle1[[#This Row],[Zinsleistung]]</f>
        <v>58389.377411997804</v>
      </c>
    </row>
    <row r="534" spans="2:11" x14ac:dyDescent="0.25">
      <c r="B534" s="11">
        <f t="shared" si="16"/>
        <v>519</v>
      </c>
      <c r="C534" s="12">
        <f>IF(1,Startdatum,"")</f>
        <v>43281</v>
      </c>
      <c r="D534" s="13">
        <f t="shared" si="17"/>
        <v>0</v>
      </c>
      <c r="E534" s="14">
        <f>IF(AnzahlZahlungen&lt;&gt;"",IF(Tabelle1[[#This Row],[Startsaldo]]&lt;Rate,Tabelle1[[#This Row],[Startsaldo]],Rate),"")</f>
        <v>0</v>
      </c>
      <c r="F534" s="19"/>
      <c r="G534" s="13">
        <f>Tabelle1[[#This Row],[Planmässige Zahlung ]]+Tabelle1[[#This Row],[Sonderzahlung]]</f>
        <v>0</v>
      </c>
      <c r="H534" s="14">
        <f>Tabelle1[[#This Row],[Zahlung gesamt]]-Tabelle1[[#This Row],[Zinsleistung]]</f>
        <v>0</v>
      </c>
      <c r="I534" s="14">
        <f>IF(AnzahlZahlungen&lt;&gt;"",Tabelle1[[#This Row],[Startsaldo]]*Zinssatz/12,"")</f>
        <v>0</v>
      </c>
      <c r="J534" s="13">
        <f>IF(AnzahlZahlungen&lt;&gt;0,Tabelle1[[#This Row],[Startsaldo]]-Tabelle1[[#This Row],[Zahlung gesamt]],"")</f>
        <v>0</v>
      </c>
      <c r="K534" s="14">
        <f>K533+Tabelle1[[#This Row],[Zinsleistung]]</f>
        <v>58389.377411997804</v>
      </c>
    </row>
    <row r="535" spans="2:11" x14ac:dyDescent="0.25">
      <c r="B535" s="11">
        <f t="shared" si="16"/>
        <v>520</v>
      </c>
      <c r="C535" s="12">
        <f>IF(1,Startdatum,"")</f>
        <v>43281</v>
      </c>
      <c r="D535" s="13">
        <f t="shared" si="17"/>
        <v>0</v>
      </c>
      <c r="E535" s="14">
        <f>IF(AnzahlZahlungen&lt;&gt;"",IF(Tabelle1[[#This Row],[Startsaldo]]&lt;Rate,Tabelle1[[#This Row],[Startsaldo]],Rate),"")</f>
        <v>0</v>
      </c>
      <c r="F535" s="19"/>
      <c r="G535" s="13">
        <f>Tabelle1[[#This Row],[Planmässige Zahlung ]]+Tabelle1[[#This Row],[Sonderzahlung]]</f>
        <v>0</v>
      </c>
      <c r="H535" s="14">
        <f>Tabelle1[[#This Row],[Zahlung gesamt]]-Tabelle1[[#This Row],[Zinsleistung]]</f>
        <v>0</v>
      </c>
      <c r="I535" s="14">
        <f>IF(AnzahlZahlungen&lt;&gt;"",Tabelle1[[#This Row],[Startsaldo]]*Zinssatz/12,"")</f>
        <v>0</v>
      </c>
      <c r="J535" s="13">
        <f>IF(AnzahlZahlungen&lt;&gt;0,Tabelle1[[#This Row],[Startsaldo]]-Tabelle1[[#This Row],[Zahlung gesamt]],"")</f>
        <v>0</v>
      </c>
      <c r="K535" s="14">
        <f>K534+Tabelle1[[#This Row],[Zinsleistung]]</f>
        <v>58389.377411997804</v>
      </c>
    </row>
    <row r="536" spans="2:11" x14ac:dyDescent="0.25">
      <c r="B536" s="11">
        <f t="shared" si="16"/>
        <v>521</v>
      </c>
      <c r="C536" s="12">
        <f>IF(1,Startdatum,"")</f>
        <v>43281</v>
      </c>
      <c r="D536" s="13">
        <f t="shared" si="17"/>
        <v>0</v>
      </c>
      <c r="E536" s="14">
        <f>IF(AnzahlZahlungen&lt;&gt;"",IF(Tabelle1[[#This Row],[Startsaldo]]&lt;Rate,Tabelle1[[#This Row],[Startsaldo]],Rate),"")</f>
        <v>0</v>
      </c>
      <c r="F536" s="19"/>
      <c r="G536" s="13">
        <f>Tabelle1[[#This Row],[Planmässige Zahlung ]]+Tabelle1[[#This Row],[Sonderzahlung]]</f>
        <v>0</v>
      </c>
      <c r="H536" s="14">
        <f>Tabelle1[[#This Row],[Zahlung gesamt]]-Tabelle1[[#This Row],[Zinsleistung]]</f>
        <v>0</v>
      </c>
      <c r="I536" s="14">
        <f>IF(AnzahlZahlungen&lt;&gt;"",Tabelle1[[#This Row],[Startsaldo]]*Zinssatz/12,"")</f>
        <v>0</v>
      </c>
      <c r="J536" s="13">
        <f>IF(AnzahlZahlungen&lt;&gt;0,Tabelle1[[#This Row],[Startsaldo]]-Tabelle1[[#This Row],[Zahlung gesamt]],"")</f>
        <v>0</v>
      </c>
      <c r="K536" s="14">
        <f>K535+Tabelle1[[#This Row],[Zinsleistung]]</f>
        <v>58389.377411997804</v>
      </c>
    </row>
    <row r="537" spans="2:11" x14ac:dyDescent="0.25">
      <c r="B537" s="11">
        <f t="shared" si="16"/>
        <v>522</v>
      </c>
      <c r="C537" s="12">
        <f>IF(1,Startdatum,"")</f>
        <v>43281</v>
      </c>
      <c r="D537" s="13">
        <f t="shared" si="17"/>
        <v>0</v>
      </c>
      <c r="E537" s="14">
        <f>IF(AnzahlZahlungen&lt;&gt;"",IF(Tabelle1[[#This Row],[Startsaldo]]&lt;Rate,Tabelle1[[#This Row],[Startsaldo]],Rate),"")</f>
        <v>0</v>
      </c>
      <c r="F537" s="19"/>
      <c r="G537" s="13">
        <f>Tabelle1[[#This Row],[Planmässige Zahlung ]]+Tabelle1[[#This Row],[Sonderzahlung]]</f>
        <v>0</v>
      </c>
      <c r="H537" s="14">
        <f>Tabelle1[[#This Row],[Zahlung gesamt]]-Tabelle1[[#This Row],[Zinsleistung]]</f>
        <v>0</v>
      </c>
      <c r="I537" s="14">
        <f>IF(AnzahlZahlungen&lt;&gt;"",Tabelle1[[#This Row],[Startsaldo]]*Zinssatz/12,"")</f>
        <v>0</v>
      </c>
      <c r="J537" s="13">
        <f>IF(AnzahlZahlungen&lt;&gt;0,Tabelle1[[#This Row],[Startsaldo]]-Tabelle1[[#This Row],[Zahlung gesamt]],"")</f>
        <v>0</v>
      </c>
      <c r="K537" s="14">
        <f>K536+Tabelle1[[#This Row],[Zinsleistung]]</f>
        <v>58389.377411997804</v>
      </c>
    </row>
    <row r="538" spans="2:11" x14ac:dyDescent="0.25">
      <c r="B538" s="11">
        <f t="shared" si="16"/>
        <v>523</v>
      </c>
      <c r="C538" s="12">
        <f>IF(1,Startdatum,"")</f>
        <v>43281</v>
      </c>
      <c r="D538" s="13">
        <f t="shared" si="17"/>
        <v>0</v>
      </c>
      <c r="E538" s="14">
        <f>IF(AnzahlZahlungen&lt;&gt;"",IF(Tabelle1[[#This Row],[Startsaldo]]&lt;Rate,Tabelle1[[#This Row],[Startsaldo]],Rate),"")</f>
        <v>0</v>
      </c>
      <c r="F538" s="19"/>
      <c r="G538" s="13">
        <f>Tabelle1[[#This Row],[Planmässige Zahlung ]]+Tabelle1[[#This Row],[Sonderzahlung]]</f>
        <v>0</v>
      </c>
      <c r="H538" s="14">
        <f>Tabelle1[[#This Row],[Zahlung gesamt]]-Tabelle1[[#This Row],[Zinsleistung]]</f>
        <v>0</v>
      </c>
      <c r="I538" s="14">
        <f>IF(AnzahlZahlungen&lt;&gt;"",Tabelle1[[#This Row],[Startsaldo]]*Zinssatz/12,"")</f>
        <v>0</v>
      </c>
      <c r="J538" s="13">
        <f>IF(AnzahlZahlungen&lt;&gt;0,Tabelle1[[#This Row],[Startsaldo]]-Tabelle1[[#This Row],[Zahlung gesamt]],"")</f>
        <v>0</v>
      </c>
      <c r="K538" s="14">
        <f>K537+Tabelle1[[#This Row],[Zinsleistung]]</f>
        <v>58389.377411997804</v>
      </c>
    </row>
    <row r="539" spans="2:11" x14ac:dyDescent="0.25">
      <c r="B539" s="11">
        <f t="shared" si="16"/>
        <v>524</v>
      </c>
      <c r="C539" s="12">
        <f>IF(1,Startdatum,"")</f>
        <v>43281</v>
      </c>
      <c r="D539" s="13">
        <f t="shared" si="17"/>
        <v>0</v>
      </c>
      <c r="E539" s="14">
        <f>IF(AnzahlZahlungen&lt;&gt;"",IF(Tabelle1[[#This Row],[Startsaldo]]&lt;Rate,Tabelle1[[#This Row],[Startsaldo]],Rate),"")</f>
        <v>0</v>
      </c>
      <c r="F539" s="19"/>
      <c r="G539" s="13">
        <f>Tabelle1[[#This Row],[Planmässige Zahlung ]]+Tabelle1[[#This Row],[Sonderzahlung]]</f>
        <v>0</v>
      </c>
      <c r="H539" s="14">
        <f>Tabelle1[[#This Row],[Zahlung gesamt]]-Tabelle1[[#This Row],[Zinsleistung]]</f>
        <v>0</v>
      </c>
      <c r="I539" s="14">
        <f>IF(AnzahlZahlungen&lt;&gt;"",Tabelle1[[#This Row],[Startsaldo]]*Zinssatz/12,"")</f>
        <v>0</v>
      </c>
      <c r="J539" s="13">
        <f>IF(AnzahlZahlungen&lt;&gt;0,Tabelle1[[#This Row],[Startsaldo]]-Tabelle1[[#This Row],[Zahlung gesamt]],"")</f>
        <v>0</v>
      </c>
      <c r="K539" s="14">
        <f>K538+Tabelle1[[#This Row],[Zinsleistung]]</f>
        <v>58389.377411997804</v>
      </c>
    </row>
    <row r="540" spans="2:11" x14ac:dyDescent="0.25">
      <c r="B540" s="11">
        <f t="shared" si="16"/>
        <v>525</v>
      </c>
      <c r="C540" s="12">
        <f>IF(1,Startdatum,"")</f>
        <v>43281</v>
      </c>
      <c r="D540" s="13">
        <f t="shared" si="17"/>
        <v>0</v>
      </c>
      <c r="E540" s="14">
        <f>IF(AnzahlZahlungen&lt;&gt;"",IF(Tabelle1[[#This Row],[Startsaldo]]&lt;Rate,Tabelle1[[#This Row],[Startsaldo]],Rate),"")</f>
        <v>0</v>
      </c>
      <c r="F540" s="19"/>
      <c r="G540" s="13">
        <f>Tabelle1[[#This Row],[Planmässige Zahlung ]]+Tabelle1[[#This Row],[Sonderzahlung]]</f>
        <v>0</v>
      </c>
      <c r="H540" s="14">
        <f>Tabelle1[[#This Row],[Zahlung gesamt]]-Tabelle1[[#This Row],[Zinsleistung]]</f>
        <v>0</v>
      </c>
      <c r="I540" s="14">
        <f>IF(AnzahlZahlungen&lt;&gt;"",Tabelle1[[#This Row],[Startsaldo]]*Zinssatz/12,"")</f>
        <v>0</v>
      </c>
      <c r="J540" s="13">
        <f>IF(AnzahlZahlungen&lt;&gt;0,Tabelle1[[#This Row],[Startsaldo]]-Tabelle1[[#This Row],[Zahlung gesamt]],"")</f>
        <v>0</v>
      </c>
      <c r="K540" s="14">
        <f>K539+Tabelle1[[#This Row],[Zinsleistung]]</f>
        <v>58389.377411997804</v>
      </c>
    </row>
    <row r="541" spans="2:11" x14ac:dyDescent="0.25">
      <c r="B541" s="11">
        <f t="shared" si="16"/>
        <v>526</v>
      </c>
      <c r="C541" s="12">
        <f>IF(1,Startdatum,"")</f>
        <v>43281</v>
      </c>
      <c r="D541" s="13">
        <f t="shared" si="17"/>
        <v>0</v>
      </c>
      <c r="E541" s="14">
        <f>IF(AnzahlZahlungen&lt;&gt;"",IF(Tabelle1[[#This Row],[Startsaldo]]&lt;Rate,Tabelle1[[#This Row],[Startsaldo]],Rate),"")</f>
        <v>0</v>
      </c>
      <c r="F541" s="19"/>
      <c r="G541" s="13">
        <f>Tabelle1[[#This Row],[Planmässige Zahlung ]]+Tabelle1[[#This Row],[Sonderzahlung]]</f>
        <v>0</v>
      </c>
      <c r="H541" s="14">
        <f>Tabelle1[[#This Row],[Zahlung gesamt]]-Tabelle1[[#This Row],[Zinsleistung]]</f>
        <v>0</v>
      </c>
      <c r="I541" s="14">
        <f>IF(AnzahlZahlungen&lt;&gt;"",Tabelle1[[#This Row],[Startsaldo]]*Zinssatz/12,"")</f>
        <v>0</v>
      </c>
      <c r="J541" s="13">
        <f>IF(AnzahlZahlungen&lt;&gt;0,Tabelle1[[#This Row],[Startsaldo]]-Tabelle1[[#This Row],[Zahlung gesamt]],"")</f>
        <v>0</v>
      </c>
      <c r="K541" s="14">
        <f>K540+Tabelle1[[#This Row],[Zinsleistung]]</f>
        <v>58389.377411997804</v>
      </c>
    </row>
    <row r="542" spans="2:11" x14ac:dyDescent="0.25">
      <c r="B542" s="11">
        <f t="shared" si="16"/>
        <v>527</v>
      </c>
      <c r="C542" s="12">
        <f>IF(1,Startdatum,"")</f>
        <v>43281</v>
      </c>
      <c r="D542" s="13">
        <f t="shared" si="17"/>
        <v>0</v>
      </c>
      <c r="E542" s="14">
        <f>IF(AnzahlZahlungen&lt;&gt;"",IF(Tabelle1[[#This Row],[Startsaldo]]&lt;Rate,Tabelle1[[#This Row],[Startsaldo]],Rate),"")</f>
        <v>0</v>
      </c>
      <c r="F542" s="19"/>
      <c r="G542" s="13">
        <f>Tabelle1[[#This Row],[Planmässige Zahlung ]]+Tabelle1[[#This Row],[Sonderzahlung]]</f>
        <v>0</v>
      </c>
      <c r="H542" s="14">
        <f>Tabelle1[[#This Row],[Zahlung gesamt]]-Tabelle1[[#This Row],[Zinsleistung]]</f>
        <v>0</v>
      </c>
      <c r="I542" s="14">
        <f>IF(AnzahlZahlungen&lt;&gt;"",Tabelle1[[#This Row],[Startsaldo]]*Zinssatz/12,"")</f>
        <v>0</v>
      </c>
      <c r="J542" s="13">
        <f>IF(AnzahlZahlungen&lt;&gt;0,Tabelle1[[#This Row],[Startsaldo]]-Tabelle1[[#This Row],[Zahlung gesamt]],"")</f>
        <v>0</v>
      </c>
      <c r="K542" s="14">
        <f>K541+Tabelle1[[#This Row],[Zinsleistung]]</f>
        <v>58389.377411997804</v>
      </c>
    </row>
    <row r="543" spans="2:11" x14ac:dyDescent="0.25">
      <c r="B543" s="11">
        <f t="shared" si="16"/>
        <v>528</v>
      </c>
      <c r="C543" s="12">
        <f>IF(1,Startdatum,"")</f>
        <v>43281</v>
      </c>
      <c r="D543" s="13">
        <f t="shared" si="17"/>
        <v>0</v>
      </c>
      <c r="E543" s="14">
        <f>IF(AnzahlZahlungen&lt;&gt;"",IF(Tabelle1[[#This Row],[Startsaldo]]&lt;Rate,Tabelle1[[#This Row],[Startsaldo]],Rate),"")</f>
        <v>0</v>
      </c>
      <c r="F543" s="19"/>
      <c r="G543" s="13">
        <f>Tabelle1[[#This Row],[Planmässige Zahlung ]]+Tabelle1[[#This Row],[Sonderzahlung]]</f>
        <v>0</v>
      </c>
      <c r="H543" s="14">
        <f>Tabelle1[[#This Row],[Zahlung gesamt]]-Tabelle1[[#This Row],[Zinsleistung]]</f>
        <v>0</v>
      </c>
      <c r="I543" s="14">
        <f>IF(AnzahlZahlungen&lt;&gt;"",Tabelle1[[#This Row],[Startsaldo]]*Zinssatz/12,"")</f>
        <v>0</v>
      </c>
      <c r="J543" s="13">
        <f>IF(AnzahlZahlungen&lt;&gt;0,Tabelle1[[#This Row],[Startsaldo]]-Tabelle1[[#This Row],[Zahlung gesamt]],"")</f>
        <v>0</v>
      </c>
      <c r="K543" s="14">
        <f>K542+Tabelle1[[#This Row],[Zinsleistung]]</f>
        <v>58389.377411997804</v>
      </c>
    </row>
    <row r="544" spans="2:11" x14ac:dyDescent="0.25">
      <c r="B544" s="11">
        <f t="shared" si="16"/>
        <v>529</v>
      </c>
      <c r="C544" s="12">
        <f>IF(1,Startdatum,"")</f>
        <v>43281</v>
      </c>
      <c r="D544" s="13">
        <f t="shared" si="17"/>
        <v>0</v>
      </c>
      <c r="E544" s="14">
        <f>IF(AnzahlZahlungen&lt;&gt;"",IF(Tabelle1[[#This Row],[Startsaldo]]&lt;Rate,Tabelle1[[#This Row],[Startsaldo]],Rate),"")</f>
        <v>0</v>
      </c>
      <c r="F544" s="19"/>
      <c r="G544" s="13">
        <f>Tabelle1[[#This Row],[Planmässige Zahlung ]]+Tabelle1[[#This Row],[Sonderzahlung]]</f>
        <v>0</v>
      </c>
      <c r="H544" s="14">
        <f>Tabelle1[[#This Row],[Zahlung gesamt]]-Tabelle1[[#This Row],[Zinsleistung]]</f>
        <v>0</v>
      </c>
      <c r="I544" s="14">
        <f>IF(AnzahlZahlungen&lt;&gt;"",Tabelle1[[#This Row],[Startsaldo]]*Zinssatz/12,"")</f>
        <v>0</v>
      </c>
      <c r="J544" s="13">
        <f>IF(AnzahlZahlungen&lt;&gt;0,Tabelle1[[#This Row],[Startsaldo]]-Tabelle1[[#This Row],[Zahlung gesamt]],"")</f>
        <v>0</v>
      </c>
      <c r="K544" s="14">
        <f>K543+Tabelle1[[#This Row],[Zinsleistung]]</f>
        <v>58389.377411997804</v>
      </c>
    </row>
    <row r="545" spans="2:11" x14ac:dyDescent="0.25">
      <c r="B545" s="11">
        <f t="shared" si="16"/>
        <v>530</v>
      </c>
      <c r="C545" s="12">
        <f>IF(1,Startdatum,"")</f>
        <v>43281</v>
      </c>
      <c r="D545" s="13">
        <f t="shared" si="17"/>
        <v>0</v>
      </c>
      <c r="E545" s="14">
        <f>IF(AnzahlZahlungen&lt;&gt;"",IF(Tabelle1[[#This Row],[Startsaldo]]&lt;Rate,Tabelle1[[#This Row],[Startsaldo]],Rate),"")</f>
        <v>0</v>
      </c>
      <c r="F545" s="19"/>
      <c r="G545" s="13">
        <f>Tabelle1[[#This Row],[Planmässige Zahlung ]]+Tabelle1[[#This Row],[Sonderzahlung]]</f>
        <v>0</v>
      </c>
      <c r="H545" s="14">
        <f>Tabelle1[[#This Row],[Zahlung gesamt]]-Tabelle1[[#This Row],[Zinsleistung]]</f>
        <v>0</v>
      </c>
      <c r="I545" s="14">
        <f>IF(AnzahlZahlungen&lt;&gt;"",Tabelle1[[#This Row],[Startsaldo]]*Zinssatz/12,"")</f>
        <v>0</v>
      </c>
      <c r="J545" s="13">
        <f>IF(AnzahlZahlungen&lt;&gt;0,Tabelle1[[#This Row],[Startsaldo]]-Tabelle1[[#This Row],[Zahlung gesamt]],"")</f>
        <v>0</v>
      </c>
      <c r="K545" s="14">
        <f>K544+Tabelle1[[#This Row],[Zinsleistung]]</f>
        <v>58389.377411997804</v>
      </c>
    </row>
    <row r="546" spans="2:11" x14ac:dyDescent="0.25">
      <c r="B546" s="11">
        <f t="shared" si="16"/>
        <v>531</v>
      </c>
      <c r="C546" s="12">
        <f>IF(1,Startdatum,"")</f>
        <v>43281</v>
      </c>
      <c r="D546" s="13">
        <f t="shared" si="17"/>
        <v>0</v>
      </c>
      <c r="E546" s="14">
        <f>IF(AnzahlZahlungen&lt;&gt;"",IF(Tabelle1[[#This Row],[Startsaldo]]&lt;Rate,Tabelle1[[#This Row],[Startsaldo]],Rate),"")</f>
        <v>0</v>
      </c>
      <c r="F546" s="19"/>
      <c r="G546" s="13">
        <f>Tabelle1[[#This Row],[Planmässige Zahlung ]]+Tabelle1[[#This Row],[Sonderzahlung]]</f>
        <v>0</v>
      </c>
      <c r="H546" s="14">
        <f>Tabelle1[[#This Row],[Zahlung gesamt]]-Tabelle1[[#This Row],[Zinsleistung]]</f>
        <v>0</v>
      </c>
      <c r="I546" s="14">
        <f>IF(AnzahlZahlungen&lt;&gt;"",Tabelle1[[#This Row],[Startsaldo]]*Zinssatz/12,"")</f>
        <v>0</v>
      </c>
      <c r="J546" s="13">
        <f>IF(AnzahlZahlungen&lt;&gt;0,Tabelle1[[#This Row],[Startsaldo]]-Tabelle1[[#This Row],[Zahlung gesamt]],"")</f>
        <v>0</v>
      </c>
      <c r="K546" s="14">
        <f>K545+Tabelle1[[#This Row],[Zinsleistung]]</f>
        <v>58389.377411997804</v>
      </c>
    </row>
    <row r="547" spans="2:11" x14ac:dyDescent="0.25">
      <c r="B547" s="11">
        <f t="shared" si="16"/>
        <v>532</v>
      </c>
      <c r="C547" s="12">
        <f>IF(1,Startdatum,"")</f>
        <v>43281</v>
      </c>
      <c r="D547" s="13">
        <f t="shared" si="17"/>
        <v>0</v>
      </c>
      <c r="E547" s="14">
        <f>IF(AnzahlZahlungen&lt;&gt;"",IF(Tabelle1[[#This Row],[Startsaldo]]&lt;Rate,Tabelle1[[#This Row],[Startsaldo]],Rate),"")</f>
        <v>0</v>
      </c>
      <c r="F547" s="19"/>
      <c r="G547" s="13">
        <f>Tabelle1[[#This Row],[Planmässige Zahlung ]]+Tabelle1[[#This Row],[Sonderzahlung]]</f>
        <v>0</v>
      </c>
      <c r="H547" s="14">
        <f>Tabelle1[[#This Row],[Zahlung gesamt]]-Tabelle1[[#This Row],[Zinsleistung]]</f>
        <v>0</v>
      </c>
      <c r="I547" s="14">
        <f>IF(AnzahlZahlungen&lt;&gt;"",Tabelle1[[#This Row],[Startsaldo]]*Zinssatz/12,"")</f>
        <v>0</v>
      </c>
      <c r="J547" s="13">
        <f>IF(AnzahlZahlungen&lt;&gt;0,Tabelle1[[#This Row],[Startsaldo]]-Tabelle1[[#This Row],[Zahlung gesamt]],"")</f>
        <v>0</v>
      </c>
      <c r="K547" s="14">
        <f>K546+Tabelle1[[#This Row],[Zinsleistung]]</f>
        <v>58389.377411997804</v>
      </c>
    </row>
    <row r="548" spans="2:11" x14ac:dyDescent="0.25">
      <c r="B548" s="11">
        <f t="shared" si="16"/>
        <v>533</v>
      </c>
      <c r="C548" s="12">
        <f>IF(1,Startdatum,"")</f>
        <v>43281</v>
      </c>
      <c r="D548" s="13">
        <f t="shared" si="17"/>
        <v>0</v>
      </c>
      <c r="E548" s="14">
        <f>IF(AnzahlZahlungen&lt;&gt;"",IF(Tabelle1[[#This Row],[Startsaldo]]&lt;Rate,Tabelle1[[#This Row],[Startsaldo]],Rate),"")</f>
        <v>0</v>
      </c>
      <c r="F548" s="19"/>
      <c r="G548" s="13">
        <f>Tabelle1[[#This Row],[Planmässige Zahlung ]]+Tabelle1[[#This Row],[Sonderzahlung]]</f>
        <v>0</v>
      </c>
      <c r="H548" s="14">
        <f>Tabelle1[[#This Row],[Zahlung gesamt]]-Tabelle1[[#This Row],[Zinsleistung]]</f>
        <v>0</v>
      </c>
      <c r="I548" s="14">
        <f>IF(AnzahlZahlungen&lt;&gt;"",Tabelle1[[#This Row],[Startsaldo]]*Zinssatz/12,"")</f>
        <v>0</v>
      </c>
      <c r="J548" s="13">
        <f>IF(AnzahlZahlungen&lt;&gt;0,Tabelle1[[#This Row],[Startsaldo]]-Tabelle1[[#This Row],[Zahlung gesamt]],"")</f>
        <v>0</v>
      </c>
      <c r="K548" s="14">
        <f>K547+Tabelle1[[#This Row],[Zinsleistung]]</f>
        <v>58389.377411997804</v>
      </c>
    </row>
    <row r="549" spans="2:11" x14ac:dyDescent="0.25">
      <c r="B549" s="11">
        <f t="shared" si="16"/>
        <v>534</v>
      </c>
      <c r="C549" s="12">
        <f>IF(1,Startdatum,"")</f>
        <v>43281</v>
      </c>
      <c r="D549" s="13">
        <f t="shared" si="17"/>
        <v>0</v>
      </c>
      <c r="E549" s="14">
        <f>IF(AnzahlZahlungen&lt;&gt;"",IF(Tabelle1[[#This Row],[Startsaldo]]&lt;Rate,Tabelle1[[#This Row],[Startsaldo]],Rate),"")</f>
        <v>0</v>
      </c>
      <c r="F549" s="19"/>
      <c r="G549" s="13">
        <f>Tabelle1[[#This Row],[Planmässige Zahlung ]]+Tabelle1[[#This Row],[Sonderzahlung]]</f>
        <v>0</v>
      </c>
      <c r="H549" s="14">
        <f>Tabelle1[[#This Row],[Zahlung gesamt]]-Tabelle1[[#This Row],[Zinsleistung]]</f>
        <v>0</v>
      </c>
      <c r="I549" s="14">
        <f>IF(AnzahlZahlungen&lt;&gt;"",Tabelle1[[#This Row],[Startsaldo]]*Zinssatz/12,"")</f>
        <v>0</v>
      </c>
      <c r="J549" s="13">
        <f>IF(AnzahlZahlungen&lt;&gt;0,Tabelle1[[#This Row],[Startsaldo]]-Tabelle1[[#This Row],[Zahlung gesamt]],"")</f>
        <v>0</v>
      </c>
      <c r="K549" s="14">
        <f>K548+Tabelle1[[#This Row],[Zinsleistung]]</f>
        <v>58389.377411997804</v>
      </c>
    </row>
    <row r="550" spans="2:11" x14ac:dyDescent="0.25">
      <c r="B550" s="11">
        <f t="shared" si="16"/>
        <v>535</v>
      </c>
      <c r="C550" s="12">
        <f>IF(1,Startdatum,"")</f>
        <v>43281</v>
      </c>
      <c r="D550" s="13">
        <f t="shared" si="17"/>
        <v>0</v>
      </c>
      <c r="E550" s="14">
        <f>IF(AnzahlZahlungen&lt;&gt;"",IF(Tabelle1[[#This Row],[Startsaldo]]&lt;Rate,Tabelle1[[#This Row],[Startsaldo]],Rate),"")</f>
        <v>0</v>
      </c>
      <c r="F550" s="19"/>
      <c r="G550" s="13">
        <f>Tabelle1[[#This Row],[Planmässige Zahlung ]]+Tabelle1[[#This Row],[Sonderzahlung]]</f>
        <v>0</v>
      </c>
      <c r="H550" s="14">
        <f>Tabelle1[[#This Row],[Zahlung gesamt]]-Tabelle1[[#This Row],[Zinsleistung]]</f>
        <v>0</v>
      </c>
      <c r="I550" s="14">
        <f>IF(AnzahlZahlungen&lt;&gt;"",Tabelle1[[#This Row],[Startsaldo]]*Zinssatz/12,"")</f>
        <v>0</v>
      </c>
      <c r="J550" s="13">
        <f>IF(AnzahlZahlungen&lt;&gt;0,Tabelle1[[#This Row],[Startsaldo]]-Tabelle1[[#This Row],[Zahlung gesamt]],"")</f>
        <v>0</v>
      </c>
      <c r="K550" s="14">
        <f>K549+Tabelle1[[#This Row],[Zinsleistung]]</f>
        <v>58389.377411997804</v>
      </c>
    </row>
    <row r="551" spans="2:11" x14ac:dyDescent="0.25">
      <c r="B551" s="11">
        <f t="shared" si="16"/>
        <v>536</v>
      </c>
      <c r="C551" s="12">
        <f>IF(1,Startdatum,"")</f>
        <v>43281</v>
      </c>
      <c r="D551" s="13">
        <f t="shared" si="17"/>
        <v>0</v>
      </c>
      <c r="E551" s="14">
        <f>IF(AnzahlZahlungen&lt;&gt;"",IF(Tabelle1[[#This Row],[Startsaldo]]&lt;Rate,Tabelle1[[#This Row],[Startsaldo]],Rate),"")</f>
        <v>0</v>
      </c>
      <c r="F551" s="19"/>
      <c r="G551" s="13">
        <f>Tabelle1[[#This Row],[Planmässige Zahlung ]]+Tabelle1[[#This Row],[Sonderzahlung]]</f>
        <v>0</v>
      </c>
      <c r="H551" s="14">
        <f>Tabelle1[[#This Row],[Zahlung gesamt]]-Tabelle1[[#This Row],[Zinsleistung]]</f>
        <v>0</v>
      </c>
      <c r="I551" s="14">
        <f>IF(AnzahlZahlungen&lt;&gt;"",Tabelle1[[#This Row],[Startsaldo]]*Zinssatz/12,"")</f>
        <v>0</v>
      </c>
      <c r="J551" s="13">
        <f>IF(AnzahlZahlungen&lt;&gt;0,Tabelle1[[#This Row],[Startsaldo]]-Tabelle1[[#This Row],[Zahlung gesamt]],"")</f>
        <v>0</v>
      </c>
      <c r="K551" s="14">
        <f>K550+Tabelle1[[#This Row],[Zinsleistung]]</f>
        <v>58389.377411997804</v>
      </c>
    </row>
    <row r="552" spans="2:11" x14ac:dyDescent="0.25">
      <c r="B552" s="11">
        <f t="shared" si="16"/>
        <v>537</v>
      </c>
      <c r="C552" s="12">
        <f>IF(1,Startdatum,"")</f>
        <v>43281</v>
      </c>
      <c r="D552" s="13">
        <f t="shared" si="17"/>
        <v>0</v>
      </c>
      <c r="E552" s="14">
        <f>IF(AnzahlZahlungen&lt;&gt;"",IF(Tabelle1[[#This Row],[Startsaldo]]&lt;Rate,Tabelle1[[#This Row],[Startsaldo]],Rate),"")</f>
        <v>0</v>
      </c>
      <c r="F552" s="19"/>
      <c r="G552" s="13">
        <f>Tabelle1[[#This Row],[Planmässige Zahlung ]]+Tabelle1[[#This Row],[Sonderzahlung]]</f>
        <v>0</v>
      </c>
      <c r="H552" s="14">
        <f>Tabelle1[[#This Row],[Zahlung gesamt]]-Tabelle1[[#This Row],[Zinsleistung]]</f>
        <v>0</v>
      </c>
      <c r="I552" s="14">
        <f>IF(AnzahlZahlungen&lt;&gt;"",Tabelle1[[#This Row],[Startsaldo]]*Zinssatz/12,"")</f>
        <v>0</v>
      </c>
      <c r="J552" s="13">
        <f>IF(AnzahlZahlungen&lt;&gt;0,Tabelle1[[#This Row],[Startsaldo]]-Tabelle1[[#This Row],[Zahlung gesamt]],"")</f>
        <v>0</v>
      </c>
      <c r="K552" s="14">
        <f>K551+Tabelle1[[#This Row],[Zinsleistung]]</f>
        <v>58389.377411997804</v>
      </c>
    </row>
    <row r="553" spans="2:11" x14ac:dyDescent="0.25">
      <c r="B553" s="11">
        <f t="shared" si="16"/>
        <v>538</v>
      </c>
      <c r="C553" s="12">
        <f>IF(1,Startdatum,"")</f>
        <v>43281</v>
      </c>
      <c r="D553" s="13">
        <f t="shared" si="17"/>
        <v>0</v>
      </c>
      <c r="E553" s="14">
        <f>IF(AnzahlZahlungen&lt;&gt;"",IF(Tabelle1[[#This Row],[Startsaldo]]&lt;Rate,Tabelle1[[#This Row],[Startsaldo]],Rate),"")</f>
        <v>0</v>
      </c>
      <c r="F553" s="19"/>
      <c r="G553" s="13">
        <f>Tabelle1[[#This Row],[Planmässige Zahlung ]]+Tabelle1[[#This Row],[Sonderzahlung]]</f>
        <v>0</v>
      </c>
      <c r="H553" s="14">
        <f>Tabelle1[[#This Row],[Zahlung gesamt]]-Tabelle1[[#This Row],[Zinsleistung]]</f>
        <v>0</v>
      </c>
      <c r="I553" s="14">
        <f>IF(AnzahlZahlungen&lt;&gt;"",Tabelle1[[#This Row],[Startsaldo]]*Zinssatz/12,"")</f>
        <v>0</v>
      </c>
      <c r="J553" s="13">
        <f>IF(AnzahlZahlungen&lt;&gt;0,Tabelle1[[#This Row],[Startsaldo]]-Tabelle1[[#This Row],[Zahlung gesamt]],"")</f>
        <v>0</v>
      </c>
      <c r="K553" s="14">
        <f>K552+Tabelle1[[#This Row],[Zinsleistung]]</f>
        <v>58389.377411997804</v>
      </c>
    </row>
    <row r="554" spans="2:11" x14ac:dyDescent="0.25">
      <c r="B554" s="11">
        <f t="shared" si="16"/>
        <v>539</v>
      </c>
      <c r="C554" s="12">
        <f>IF(1,Startdatum,"")</f>
        <v>43281</v>
      </c>
      <c r="D554" s="13">
        <f t="shared" si="17"/>
        <v>0</v>
      </c>
      <c r="E554" s="14">
        <f>IF(AnzahlZahlungen&lt;&gt;"",IF(Tabelle1[[#This Row],[Startsaldo]]&lt;Rate,Tabelle1[[#This Row],[Startsaldo]],Rate),"")</f>
        <v>0</v>
      </c>
      <c r="F554" s="19"/>
      <c r="G554" s="13">
        <f>Tabelle1[[#This Row],[Planmässige Zahlung ]]+Tabelle1[[#This Row],[Sonderzahlung]]</f>
        <v>0</v>
      </c>
      <c r="H554" s="14">
        <f>Tabelle1[[#This Row],[Zahlung gesamt]]-Tabelle1[[#This Row],[Zinsleistung]]</f>
        <v>0</v>
      </c>
      <c r="I554" s="14">
        <f>IF(AnzahlZahlungen&lt;&gt;"",Tabelle1[[#This Row],[Startsaldo]]*Zinssatz/12,"")</f>
        <v>0</v>
      </c>
      <c r="J554" s="13">
        <f>IF(AnzahlZahlungen&lt;&gt;0,Tabelle1[[#This Row],[Startsaldo]]-Tabelle1[[#This Row],[Zahlung gesamt]],"")</f>
        <v>0</v>
      </c>
      <c r="K554" s="14">
        <f>K553+Tabelle1[[#This Row],[Zinsleistung]]</f>
        <v>58389.377411997804</v>
      </c>
    </row>
    <row r="555" spans="2:11" x14ac:dyDescent="0.25">
      <c r="B555" s="11">
        <f t="shared" si="16"/>
        <v>540</v>
      </c>
      <c r="C555" s="12">
        <f>IF(1,Startdatum,"")</f>
        <v>43281</v>
      </c>
      <c r="D555" s="13">
        <f t="shared" si="17"/>
        <v>0</v>
      </c>
      <c r="E555" s="14">
        <f>IF(AnzahlZahlungen&lt;&gt;"",IF(Tabelle1[[#This Row],[Startsaldo]]&lt;Rate,Tabelle1[[#This Row],[Startsaldo]],Rate),"")</f>
        <v>0</v>
      </c>
      <c r="F555" s="19"/>
      <c r="G555" s="13">
        <f>Tabelle1[[#This Row],[Planmässige Zahlung ]]+Tabelle1[[#This Row],[Sonderzahlung]]</f>
        <v>0</v>
      </c>
      <c r="H555" s="14">
        <f>Tabelle1[[#This Row],[Zahlung gesamt]]-Tabelle1[[#This Row],[Zinsleistung]]</f>
        <v>0</v>
      </c>
      <c r="I555" s="14">
        <f>IF(AnzahlZahlungen&lt;&gt;"",Tabelle1[[#This Row],[Startsaldo]]*Zinssatz/12,"")</f>
        <v>0</v>
      </c>
      <c r="J555" s="13">
        <f>IF(AnzahlZahlungen&lt;&gt;0,Tabelle1[[#This Row],[Startsaldo]]-Tabelle1[[#This Row],[Zahlung gesamt]],"")</f>
        <v>0</v>
      </c>
      <c r="K555" s="14">
        <f>K554+Tabelle1[[#This Row],[Zinsleistung]]</f>
        <v>58389.377411997804</v>
      </c>
    </row>
    <row r="556" spans="2:11" x14ac:dyDescent="0.25">
      <c r="B556" s="11">
        <f t="shared" si="16"/>
        <v>541</v>
      </c>
      <c r="C556" s="12">
        <f>IF(1,Startdatum,"")</f>
        <v>43281</v>
      </c>
      <c r="D556" s="13">
        <f t="shared" si="17"/>
        <v>0</v>
      </c>
      <c r="E556" s="14">
        <f>IF(AnzahlZahlungen&lt;&gt;"",IF(Tabelle1[[#This Row],[Startsaldo]]&lt;Rate,Tabelle1[[#This Row],[Startsaldo]],Rate),"")</f>
        <v>0</v>
      </c>
      <c r="F556" s="19"/>
      <c r="G556" s="13">
        <f>Tabelle1[[#This Row],[Planmässige Zahlung ]]+Tabelle1[[#This Row],[Sonderzahlung]]</f>
        <v>0</v>
      </c>
      <c r="H556" s="14">
        <f>Tabelle1[[#This Row],[Zahlung gesamt]]-Tabelle1[[#This Row],[Zinsleistung]]</f>
        <v>0</v>
      </c>
      <c r="I556" s="14">
        <f>IF(AnzahlZahlungen&lt;&gt;"",Tabelle1[[#This Row],[Startsaldo]]*Zinssatz/12,"")</f>
        <v>0</v>
      </c>
      <c r="J556" s="13">
        <f>IF(AnzahlZahlungen&lt;&gt;0,Tabelle1[[#This Row],[Startsaldo]]-Tabelle1[[#This Row],[Zahlung gesamt]],"")</f>
        <v>0</v>
      </c>
      <c r="K556" s="14">
        <f>K555+Tabelle1[[#This Row],[Zinsleistung]]</f>
        <v>58389.377411997804</v>
      </c>
    </row>
    <row r="557" spans="2:11" x14ac:dyDescent="0.25">
      <c r="B557" s="11">
        <f t="shared" si="16"/>
        <v>542</v>
      </c>
      <c r="C557" s="12">
        <f>IF(1,Startdatum,"")</f>
        <v>43281</v>
      </c>
      <c r="D557" s="13">
        <f t="shared" si="17"/>
        <v>0</v>
      </c>
      <c r="E557" s="14">
        <f>IF(AnzahlZahlungen&lt;&gt;"",IF(Tabelle1[[#This Row],[Startsaldo]]&lt;Rate,Tabelle1[[#This Row],[Startsaldo]],Rate),"")</f>
        <v>0</v>
      </c>
      <c r="F557" s="19"/>
      <c r="G557" s="13">
        <f>Tabelle1[[#This Row],[Planmässige Zahlung ]]+Tabelle1[[#This Row],[Sonderzahlung]]</f>
        <v>0</v>
      </c>
      <c r="H557" s="14">
        <f>Tabelle1[[#This Row],[Zahlung gesamt]]-Tabelle1[[#This Row],[Zinsleistung]]</f>
        <v>0</v>
      </c>
      <c r="I557" s="14">
        <f>IF(AnzahlZahlungen&lt;&gt;"",Tabelle1[[#This Row],[Startsaldo]]*Zinssatz/12,"")</f>
        <v>0</v>
      </c>
      <c r="J557" s="13">
        <f>IF(AnzahlZahlungen&lt;&gt;0,Tabelle1[[#This Row],[Startsaldo]]-Tabelle1[[#This Row],[Zahlung gesamt]],"")</f>
        <v>0</v>
      </c>
      <c r="K557" s="14">
        <f>K556+Tabelle1[[#This Row],[Zinsleistung]]</f>
        <v>58389.377411997804</v>
      </c>
    </row>
    <row r="558" spans="2:11" x14ac:dyDescent="0.25">
      <c r="B558" s="11">
        <f t="shared" si="16"/>
        <v>543</v>
      </c>
      <c r="C558" s="12">
        <f>IF(1,Startdatum,"")</f>
        <v>43281</v>
      </c>
      <c r="D558" s="13">
        <f t="shared" si="17"/>
        <v>0</v>
      </c>
      <c r="E558" s="14">
        <f>IF(AnzahlZahlungen&lt;&gt;"",IF(Tabelle1[[#This Row],[Startsaldo]]&lt;Rate,Tabelle1[[#This Row],[Startsaldo]],Rate),"")</f>
        <v>0</v>
      </c>
      <c r="F558" s="19"/>
      <c r="G558" s="13">
        <f>Tabelle1[[#This Row],[Planmässige Zahlung ]]+Tabelle1[[#This Row],[Sonderzahlung]]</f>
        <v>0</v>
      </c>
      <c r="H558" s="14">
        <f>Tabelle1[[#This Row],[Zahlung gesamt]]-Tabelle1[[#This Row],[Zinsleistung]]</f>
        <v>0</v>
      </c>
      <c r="I558" s="14">
        <f>IF(AnzahlZahlungen&lt;&gt;"",Tabelle1[[#This Row],[Startsaldo]]*Zinssatz/12,"")</f>
        <v>0</v>
      </c>
      <c r="J558" s="13">
        <f>IF(AnzahlZahlungen&lt;&gt;0,Tabelle1[[#This Row],[Startsaldo]]-Tabelle1[[#This Row],[Zahlung gesamt]],"")</f>
        <v>0</v>
      </c>
      <c r="K558" s="14">
        <f>K557+Tabelle1[[#This Row],[Zinsleistung]]</f>
        <v>58389.377411997804</v>
      </c>
    </row>
    <row r="559" spans="2:11" x14ac:dyDescent="0.25">
      <c r="B559" s="11">
        <f t="shared" si="16"/>
        <v>544</v>
      </c>
      <c r="C559" s="12">
        <f>IF(1,Startdatum,"")</f>
        <v>43281</v>
      </c>
      <c r="D559" s="13">
        <f t="shared" si="17"/>
        <v>0</v>
      </c>
      <c r="E559" s="14">
        <f>IF(AnzahlZahlungen&lt;&gt;"",IF(Tabelle1[[#This Row],[Startsaldo]]&lt;Rate,Tabelle1[[#This Row],[Startsaldo]],Rate),"")</f>
        <v>0</v>
      </c>
      <c r="F559" s="19"/>
      <c r="G559" s="13">
        <f>Tabelle1[[#This Row],[Planmässige Zahlung ]]+Tabelle1[[#This Row],[Sonderzahlung]]</f>
        <v>0</v>
      </c>
      <c r="H559" s="14">
        <f>Tabelle1[[#This Row],[Zahlung gesamt]]-Tabelle1[[#This Row],[Zinsleistung]]</f>
        <v>0</v>
      </c>
      <c r="I559" s="14">
        <f>IF(AnzahlZahlungen&lt;&gt;"",Tabelle1[[#This Row],[Startsaldo]]*Zinssatz/12,"")</f>
        <v>0</v>
      </c>
      <c r="J559" s="13">
        <f>IF(AnzahlZahlungen&lt;&gt;0,Tabelle1[[#This Row],[Startsaldo]]-Tabelle1[[#This Row],[Zahlung gesamt]],"")</f>
        <v>0</v>
      </c>
      <c r="K559" s="14">
        <f>K558+Tabelle1[[#This Row],[Zinsleistung]]</f>
        <v>58389.377411997804</v>
      </c>
    </row>
    <row r="560" spans="2:11" x14ac:dyDescent="0.25">
      <c r="B560" s="11">
        <f t="shared" si="16"/>
        <v>545</v>
      </c>
      <c r="C560" s="12">
        <f>IF(1,Startdatum,"")</f>
        <v>43281</v>
      </c>
      <c r="D560" s="13">
        <f t="shared" si="17"/>
        <v>0</v>
      </c>
      <c r="E560" s="14">
        <f>IF(AnzahlZahlungen&lt;&gt;"",IF(Tabelle1[[#This Row],[Startsaldo]]&lt;Rate,Tabelle1[[#This Row],[Startsaldo]],Rate),"")</f>
        <v>0</v>
      </c>
      <c r="F560" s="19"/>
      <c r="G560" s="13">
        <f>Tabelle1[[#This Row],[Planmässige Zahlung ]]+Tabelle1[[#This Row],[Sonderzahlung]]</f>
        <v>0</v>
      </c>
      <c r="H560" s="14">
        <f>Tabelle1[[#This Row],[Zahlung gesamt]]-Tabelle1[[#This Row],[Zinsleistung]]</f>
        <v>0</v>
      </c>
      <c r="I560" s="14">
        <f>IF(AnzahlZahlungen&lt;&gt;"",Tabelle1[[#This Row],[Startsaldo]]*Zinssatz/12,"")</f>
        <v>0</v>
      </c>
      <c r="J560" s="13">
        <f>IF(AnzahlZahlungen&lt;&gt;0,Tabelle1[[#This Row],[Startsaldo]]-Tabelle1[[#This Row],[Zahlung gesamt]],"")</f>
        <v>0</v>
      </c>
      <c r="K560" s="14">
        <f>K559+Tabelle1[[#This Row],[Zinsleistung]]</f>
        <v>58389.377411997804</v>
      </c>
    </row>
    <row r="561" spans="2:11" x14ac:dyDescent="0.25">
      <c r="B561" s="11">
        <f t="shared" si="16"/>
        <v>546</v>
      </c>
      <c r="C561" s="12">
        <f>IF(1,Startdatum,"")</f>
        <v>43281</v>
      </c>
      <c r="D561" s="13">
        <f t="shared" si="17"/>
        <v>0</v>
      </c>
      <c r="E561" s="14">
        <f>IF(AnzahlZahlungen&lt;&gt;"",IF(Tabelle1[[#This Row],[Startsaldo]]&lt;Rate,Tabelle1[[#This Row],[Startsaldo]],Rate),"")</f>
        <v>0</v>
      </c>
      <c r="F561" s="19"/>
      <c r="G561" s="13">
        <f>Tabelle1[[#This Row],[Planmässige Zahlung ]]+Tabelle1[[#This Row],[Sonderzahlung]]</f>
        <v>0</v>
      </c>
      <c r="H561" s="14">
        <f>Tabelle1[[#This Row],[Zahlung gesamt]]-Tabelle1[[#This Row],[Zinsleistung]]</f>
        <v>0</v>
      </c>
      <c r="I561" s="14">
        <f>IF(AnzahlZahlungen&lt;&gt;"",Tabelle1[[#This Row],[Startsaldo]]*Zinssatz/12,"")</f>
        <v>0</v>
      </c>
      <c r="J561" s="13">
        <f>IF(AnzahlZahlungen&lt;&gt;0,Tabelle1[[#This Row],[Startsaldo]]-Tabelle1[[#This Row],[Zahlung gesamt]],"")</f>
        <v>0</v>
      </c>
      <c r="K561" s="14">
        <f>K560+Tabelle1[[#This Row],[Zinsleistung]]</f>
        <v>58389.377411997804</v>
      </c>
    </row>
    <row r="562" spans="2:11" x14ac:dyDescent="0.25">
      <c r="B562" s="11">
        <f t="shared" si="16"/>
        <v>547</v>
      </c>
      <c r="C562" s="12">
        <f>IF(1,Startdatum,"")</f>
        <v>43281</v>
      </c>
      <c r="D562" s="13">
        <f t="shared" si="17"/>
        <v>0</v>
      </c>
      <c r="E562" s="14">
        <f>IF(AnzahlZahlungen&lt;&gt;"",IF(Tabelle1[[#This Row],[Startsaldo]]&lt;Rate,Tabelle1[[#This Row],[Startsaldo]],Rate),"")</f>
        <v>0</v>
      </c>
      <c r="F562" s="19"/>
      <c r="G562" s="13">
        <f>Tabelle1[[#This Row],[Planmässige Zahlung ]]+Tabelle1[[#This Row],[Sonderzahlung]]</f>
        <v>0</v>
      </c>
      <c r="H562" s="14">
        <f>Tabelle1[[#This Row],[Zahlung gesamt]]-Tabelle1[[#This Row],[Zinsleistung]]</f>
        <v>0</v>
      </c>
      <c r="I562" s="14">
        <f>IF(AnzahlZahlungen&lt;&gt;"",Tabelle1[[#This Row],[Startsaldo]]*Zinssatz/12,"")</f>
        <v>0</v>
      </c>
      <c r="J562" s="13">
        <f>IF(AnzahlZahlungen&lt;&gt;0,Tabelle1[[#This Row],[Startsaldo]]-Tabelle1[[#This Row],[Zahlung gesamt]],"")</f>
        <v>0</v>
      </c>
      <c r="K562" s="14">
        <f>K561+Tabelle1[[#This Row],[Zinsleistung]]</f>
        <v>58389.377411997804</v>
      </c>
    </row>
    <row r="563" spans="2:11" x14ac:dyDescent="0.25">
      <c r="B563" s="11">
        <f t="shared" si="16"/>
        <v>548</v>
      </c>
      <c r="C563" s="12">
        <f>IF(1,Startdatum,"")</f>
        <v>43281</v>
      </c>
      <c r="D563" s="13">
        <f t="shared" si="17"/>
        <v>0</v>
      </c>
      <c r="E563" s="14">
        <f>IF(AnzahlZahlungen&lt;&gt;"",IF(Tabelle1[[#This Row],[Startsaldo]]&lt;Rate,Tabelle1[[#This Row],[Startsaldo]],Rate),"")</f>
        <v>0</v>
      </c>
      <c r="F563" s="19"/>
      <c r="G563" s="13">
        <f>Tabelle1[[#This Row],[Planmässige Zahlung ]]+Tabelle1[[#This Row],[Sonderzahlung]]</f>
        <v>0</v>
      </c>
      <c r="H563" s="14">
        <f>Tabelle1[[#This Row],[Zahlung gesamt]]-Tabelle1[[#This Row],[Zinsleistung]]</f>
        <v>0</v>
      </c>
      <c r="I563" s="14">
        <f>IF(AnzahlZahlungen&lt;&gt;"",Tabelle1[[#This Row],[Startsaldo]]*Zinssatz/12,"")</f>
        <v>0</v>
      </c>
      <c r="J563" s="13">
        <f>IF(AnzahlZahlungen&lt;&gt;0,Tabelle1[[#This Row],[Startsaldo]]-Tabelle1[[#This Row],[Zahlung gesamt]],"")</f>
        <v>0</v>
      </c>
      <c r="K563" s="14">
        <f>K562+Tabelle1[[#This Row],[Zinsleistung]]</f>
        <v>58389.377411997804</v>
      </c>
    </row>
    <row r="564" spans="2:11" x14ac:dyDescent="0.25">
      <c r="B564" s="11">
        <f t="shared" si="16"/>
        <v>549</v>
      </c>
      <c r="C564" s="12">
        <f>IF(1,Startdatum,"")</f>
        <v>43281</v>
      </c>
      <c r="D564" s="13">
        <f t="shared" si="17"/>
        <v>0</v>
      </c>
      <c r="E564" s="14">
        <f>IF(AnzahlZahlungen&lt;&gt;"",IF(Tabelle1[[#This Row],[Startsaldo]]&lt;Rate,Tabelle1[[#This Row],[Startsaldo]],Rate),"")</f>
        <v>0</v>
      </c>
      <c r="F564" s="19"/>
      <c r="G564" s="13">
        <f>Tabelle1[[#This Row],[Planmässige Zahlung ]]+Tabelle1[[#This Row],[Sonderzahlung]]</f>
        <v>0</v>
      </c>
      <c r="H564" s="14">
        <f>Tabelle1[[#This Row],[Zahlung gesamt]]-Tabelle1[[#This Row],[Zinsleistung]]</f>
        <v>0</v>
      </c>
      <c r="I564" s="14">
        <f>IF(AnzahlZahlungen&lt;&gt;"",Tabelle1[[#This Row],[Startsaldo]]*Zinssatz/12,"")</f>
        <v>0</v>
      </c>
      <c r="J564" s="13">
        <f>IF(AnzahlZahlungen&lt;&gt;0,Tabelle1[[#This Row],[Startsaldo]]-Tabelle1[[#This Row],[Zahlung gesamt]],"")</f>
        <v>0</v>
      </c>
      <c r="K564" s="14">
        <f>K563+Tabelle1[[#This Row],[Zinsleistung]]</f>
        <v>58389.377411997804</v>
      </c>
    </row>
    <row r="565" spans="2:11" x14ac:dyDescent="0.25">
      <c r="B565" s="11">
        <f t="shared" si="16"/>
        <v>550</v>
      </c>
      <c r="C565" s="12">
        <f>IF(1,Startdatum,"")</f>
        <v>43281</v>
      </c>
      <c r="D565" s="13">
        <f t="shared" si="17"/>
        <v>0</v>
      </c>
      <c r="E565" s="14">
        <f>IF(AnzahlZahlungen&lt;&gt;"",IF(Tabelle1[[#This Row],[Startsaldo]]&lt;Rate,Tabelle1[[#This Row],[Startsaldo]],Rate),"")</f>
        <v>0</v>
      </c>
      <c r="F565" s="19"/>
      <c r="G565" s="13">
        <f>Tabelle1[[#This Row],[Planmässige Zahlung ]]+Tabelle1[[#This Row],[Sonderzahlung]]</f>
        <v>0</v>
      </c>
      <c r="H565" s="14">
        <f>Tabelle1[[#This Row],[Zahlung gesamt]]-Tabelle1[[#This Row],[Zinsleistung]]</f>
        <v>0</v>
      </c>
      <c r="I565" s="14">
        <f>IF(AnzahlZahlungen&lt;&gt;"",Tabelle1[[#This Row],[Startsaldo]]*Zinssatz/12,"")</f>
        <v>0</v>
      </c>
      <c r="J565" s="13">
        <f>IF(AnzahlZahlungen&lt;&gt;0,Tabelle1[[#This Row],[Startsaldo]]-Tabelle1[[#This Row],[Zahlung gesamt]],"")</f>
        <v>0</v>
      </c>
      <c r="K565" s="14">
        <f>K564+Tabelle1[[#This Row],[Zinsleistung]]</f>
        <v>58389.377411997804</v>
      </c>
    </row>
    <row r="566" spans="2:11" x14ac:dyDescent="0.25">
      <c r="B566" s="11">
        <f t="shared" si="16"/>
        <v>551</v>
      </c>
      <c r="C566" s="12">
        <f>IF(1,Startdatum,"")</f>
        <v>43281</v>
      </c>
      <c r="D566" s="13">
        <f t="shared" si="17"/>
        <v>0</v>
      </c>
      <c r="E566" s="14">
        <f>IF(AnzahlZahlungen&lt;&gt;"",IF(Tabelle1[[#This Row],[Startsaldo]]&lt;Rate,Tabelle1[[#This Row],[Startsaldo]],Rate),"")</f>
        <v>0</v>
      </c>
      <c r="F566" s="19"/>
      <c r="G566" s="13">
        <f>Tabelle1[[#This Row],[Planmässige Zahlung ]]+Tabelle1[[#This Row],[Sonderzahlung]]</f>
        <v>0</v>
      </c>
      <c r="H566" s="14">
        <f>Tabelle1[[#This Row],[Zahlung gesamt]]-Tabelle1[[#This Row],[Zinsleistung]]</f>
        <v>0</v>
      </c>
      <c r="I566" s="14">
        <f>IF(AnzahlZahlungen&lt;&gt;"",Tabelle1[[#This Row],[Startsaldo]]*Zinssatz/12,"")</f>
        <v>0</v>
      </c>
      <c r="J566" s="13">
        <f>IF(AnzahlZahlungen&lt;&gt;0,Tabelle1[[#This Row],[Startsaldo]]-Tabelle1[[#This Row],[Zahlung gesamt]],"")</f>
        <v>0</v>
      </c>
      <c r="K566" s="14">
        <f>K565+Tabelle1[[#This Row],[Zinsleistung]]</f>
        <v>58389.377411997804</v>
      </c>
    </row>
    <row r="567" spans="2:11" x14ac:dyDescent="0.25">
      <c r="B567" s="11">
        <f t="shared" si="16"/>
        <v>552</v>
      </c>
      <c r="C567" s="12">
        <f>IF(1,Startdatum,"")</f>
        <v>43281</v>
      </c>
      <c r="D567" s="13">
        <f t="shared" si="17"/>
        <v>0</v>
      </c>
      <c r="E567" s="14">
        <f>IF(AnzahlZahlungen&lt;&gt;"",IF(Tabelle1[[#This Row],[Startsaldo]]&lt;Rate,Tabelle1[[#This Row],[Startsaldo]],Rate),"")</f>
        <v>0</v>
      </c>
      <c r="F567" s="19"/>
      <c r="G567" s="13">
        <f>Tabelle1[[#This Row],[Planmässige Zahlung ]]+Tabelle1[[#This Row],[Sonderzahlung]]</f>
        <v>0</v>
      </c>
      <c r="H567" s="14">
        <f>Tabelle1[[#This Row],[Zahlung gesamt]]-Tabelle1[[#This Row],[Zinsleistung]]</f>
        <v>0</v>
      </c>
      <c r="I567" s="14">
        <f>IF(AnzahlZahlungen&lt;&gt;"",Tabelle1[[#This Row],[Startsaldo]]*Zinssatz/12,"")</f>
        <v>0</v>
      </c>
      <c r="J567" s="13">
        <f>IF(AnzahlZahlungen&lt;&gt;0,Tabelle1[[#This Row],[Startsaldo]]-Tabelle1[[#This Row],[Zahlung gesamt]],"")</f>
        <v>0</v>
      </c>
      <c r="K567" s="14">
        <f>K566+Tabelle1[[#This Row],[Zinsleistung]]</f>
        <v>58389.377411997804</v>
      </c>
    </row>
    <row r="568" spans="2:11" x14ac:dyDescent="0.25">
      <c r="B568" s="11">
        <f t="shared" si="16"/>
        <v>553</v>
      </c>
      <c r="C568" s="12">
        <f>IF(1,Startdatum,"")</f>
        <v>43281</v>
      </c>
      <c r="D568" s="13">
        <f t="shared" si="17"/>
        <v>0</v>
      </c>
      <c r="E568" s="14">
        <f>IF(AnzahlZahlungen&lt;&gt;"",IF(Tabelle1[[#This Row],[Startsaldo]]&lt;Rate,Tabelle1[[#This Row],[Startsaldo]],Rate),"")</f>
        <v>0</v>
      </c>
      <c r="F568" s="19"/>
      <c r="G568" s="13">
        <f>Tabelle1[[#This Row],[Planmässige Zahlung ]]+Tabelle1[[#This Row],[Sonderzahlung]]</f>
        <v>0</v>
      </c>
      <c r="H568" s="14">
        <f>Tabelle1[[#This Row],[Zahlung gesamt]]-Tabelle1[[#This Row],[Zinsleistung]]</f>
        <v>0</v>
      </c>
      <c r="I568" s="14">
        <f>IF(AnzahlZahlungen&lt;&gt;"",Tabelle1[[#This Row],[Startsaldo]]*Zinssatz/12,"")</f>
        <v>0</v>
      </c>
      <c r="J568" s="13">
        <f>IF(AnzahlZahlungen&lt;&gt;0,Tabelle1[[#This Row],[Startsaldo]]-Tabelle1[[#This Row],[Zahlung gesamt]],"")</f>
        <v>0</v>
      </c>
      <c r="K568" s="14">
        <f>K567+Tabelle1[[#This Row],[Zinsleistung]]</f>
        <v>58389.377411997804</v>
      </c>
    </row>
    <row r="569" spans="2:11" x14ac:dyDescent="0.25">
      <c r="B569" s="11">
        <f t="shared" si="16"/>
        <v>554</v>
      </c>
      <c r="C569" s="12">
        <f>IF(1,Startdatum,"")</f>
        <v>43281</v>
      </c>
      <c r="D569" s="13">
        <f t="shared" si="17"/>
        <v>0</v>
      </c>
      <c r="E569" s="14">
        <f>IF(AnzahlZahlungen&lt;&gt;"",IF(Tabelle1[[#This Row],[Startsaldo]]&lt;Rate,Tabelle1[[#This Row],[Startsaldo]],Rate),"")</f>
        <v>0</v>
      </c>
      <c r="F569" s="19"/>
      <c r="G569" s="13">
        <f>Tabelle1[[#This Row],[Planmässige Zahlung ]]+Tabelle1[[#This Row],[Sonderzahlung]]</f>
        <v>0</v>
      </c>
      <c r="H569" s="14">
        <f>Tabelle1[[#This Row],[Zahlung gesamt]]-Tabelle1[[#This Row],[Zinsleistung]]</f>
        <v>0</v>
      </c>
      <c r="I569" s="14">
        <f>IF(AnzahlZahlungen&lt;&gt;"",Tabelle1[[#This Row],[Startsaldo]]*Zinssatz/12,"")</f>
        <v>0</v>
      </c>
      <c r="J569" s="13">
        <f>IF(AnzahlZahlungen&lt;&gt;0,Tabelle1[[#This Row],[Startsaldo]]-Tabelle1[[#This Row],[Zahlung gesamt]],"")</f>
        <v>0</v>
      </c>
      <c r="K569" s="14">
        <f>K568+Tabelle1[[#This Row],[Zinsleistung]]</f>
        <v>58389.377411997804</v>
      </c>
    </row>
    <row r="570" spans="2:11" x14ac:dyDescent="0.25">
      <c r="B570" s="11">
        <f t="shared" si="16"/>
        <v>555</v>
      </c>
      <c r="C570" s="12">
        <f>IF(1,Startdatum,"")</f>
        <v>43281</v>
      </c>
      <c r="D570" s="13">
        <f t="shared" si="17"/>
        <v>0</v>
      </c>
      <c r="E570" s="14">
        <f>IF(AnzahlZahlungen&lt;&gt;"",IF(Tabelle1[[#This Row],[Startsaldo]]&lt;Rate,Tabelle1[[#This Row],[Startsaldo]],Rate),"")</f>
        <v>0</v>
      </c>
      <c r="F570" s="19"/>
      <c r="G570" s="13">
        <f>Tabelle1[[#This Row],[Planmässige Zahlung ]]+Tabelle1[[#This Row],[Sonderzahlung]]</f>
        <v>0</v>
      </c>
      <c r="H570" s="14">
        <f>Tabelle1[[#This Row],[Zahlung gesamt]]-Tabelle1[[#This Row],[Zinsleistung]]</f>
        <v>0</v>
      </c>
      <c r="I570" s="14">
        <f>IF(AnzahlZahlungen&lt;&gt;"",Tabelle1[[#This Row],[Startsaldo]]*Zinssatz/12,"")</f>
        <v>0</v>
      </c>
      <c r="J570" s="13">
        <f>IF(AnzahlZahlungen&lt;&gt;0,Tabelle1[[#This Row],[Startsaldo]]-Tabelle1[[#This Row],[Zahlung gesamt]],"")</f>
        <v>0</v>
      </c>
      <c r="K570" s="14">
        <f>K569+Tabelle1[[#This Row],[Zinsleistung]]</f>
        <v>58389.377411997804</v>
      </c>
    </row>
    <row r="571" spans="2:11" x14ac:dyDescent="0.25">
      <c r="B571" s="11">
        <f t="shared" si="16"/>
        <v>556</v>
      </c>
      <c r="C571" s="12">
        <f>IF(1,Startdatum,"")</f>
        <v>43281</v>
      </c>
      <c r="D571" s="13">
        <f t="shared" si="17"/>
        <v>0</v>
      </c>
      <c r="E571" s="14">
        <f>IF(AnzahlZahlungen&lt;&gt;"",IF(Tabelle1[[#This Row],[Startsaldo]]&lt;Rate,Tabelle1[[#This Row],[Startsaldo]],Rate),"")</f>
        <v>0</v>
      </c>
      <c r="F571" s="19"/>
      <c r="G571" s="13">
        <f>Tabelle1[[#This Row],[Planmässige Zahlung ]]+Tabelle1[[#This Row],[Sonderzahlung]]</f>
        <v>0</v>
      </c>
      <c r="H571" s="14">
        <f>Tabelle1[[#This Row],[Zahlung gesamt]]-Tabelle1[[#This Row],[Zinsleistung]]</f>
        <v>0</v>
      </c>
      <c r="I571" s="14">
        <f>IF(AnzahlZahlungen&lt;&gt;"",Tabelle1[[#This Row],[Startsaldo]]*Zinssatz/12,"")</f>
        <v>0</v>
      </c>
      <c r="J571" s="13">
        <f>IF(AnzahlZahlungen&lt;&gt;0,Tabelle1[[#This Row],[Startsaldo]]-Tabelle1[[#This Row],[Zahlung gesamt]],"")</f>
        <v>0</v>
      </c>
      <c r="K571" s="14">
        <f>K570+Tabelle1[[#This Row],[Zinsleistung]]</f>
        <v>58389.377411997804</v>
      </c>
    </row>
    <row r="572" spans="2:11" x14ac:dyDescent="0.25">
      <c r="B572" s="11">
        <f t="shared" ref="B572:B616" si="18">B571+1</f>
        <v>557</v>
      </c>
      <c r="C572" s="12">
        <f>IF(1,Startdatum,"")</f>
        <v>43281</v>
      </c>
      <c r="D572" s="13">
        <f t="shared" si="17"/>
        <v>0</v>
      </c>
      <c r="E572" s="14">
        <f>IF(AnzahlZahlungen&lt;&gt;"",IF(Tabelle1[[#This Row],[Startsaldo]]&lt;Rate,Tabelle1[[#This Row],[Startsaldo]],Rate),"")</f>
        <v>0</v>
      </c>
      <c r="F572" s="19"/>
      <c r="G572" s="13">
        <f>Tabelle1[[#This Row],[Planmässige Zahlung ]]+Tabelle1[[#This Row],[Sonderzahlung]]</f>
        <v>0</v>
      </c>
      <c r="H572" s="14">
        <f>Tabelle1[[#This Row],[Zahlung gesamt]]-Tabelle1[[#This Row],[Zinsleistung]]</f>
        <v>0</v>
      </c>
      <c r="I572" s="14">
        <f>IF(AnzahlZahlungen&lt;&gt;"",Tabelle1[[#This Row],[Startsaldo]]*Zinssatz/12,"")</f>
        <v>0</v>
      </c>
      <c r="J572" s="13">
        <f>IF(AnzahlZahlungen&lt;&gt;0,Tabelle1[[#This Row],[Startsaldo]]-Tabelle1[[#This Row],[Zahlung gesamt]],"")</f>
        <v>0</v>
      </c>
      <c r="K572" s="14">
        <f>K571+Tabelle1[[#This Row],[Zinsleistung]]</f>
        <v>58389.377411997804</v>
      </c>
    </row>
    <row r="573" spans="2:11" x14ac:dyDescent="0.25">
      <c r="B573" s="11">
        <f t="shared" si="18"/>
        <v>558</v>
      </c>
      <c r="C573" s="12">
        <f>IF(1,Startdatum,"")</f>
        <v>43281</v>
      </c>
      <c r="D573" s="13">
        <f t="shared" si="17"/>
        <v>0</v>
      </c>
      <c r="E573" s="14">
        <f>IF(AnzahlZahlungen&lt;&gt;"",IF(Tabelle1[[#This Row],[Startsaldo]]&lt;Rate,Tabelle1[[#This Row],[Startsaldo]],Rate),"")</f>
        <v>0</v>
      </c>
      <c r="F573" s="19"/>
      <c r="G573" s="13">
        <f>Tabelle1[[#This Row],[Planmässige Zahlung ]]+Tabelle1[[#This Row],[Sonderzahlung]]</f>
        <v>0</v>
      </c>
      <c r="H573" s="14">
        <f>Tabelle1[[#This Row],[Zahlung gesamt]]-Tabelle1[[#This Row],[Zinsleistung]]</f>
        <v>0</v>
      </c>
      <c r="I573" s="14">
        <f>IF(AnzahlZahlungen&lt;&gt;"",Tabelle1[[#This Row],[Startsaldo]]*Zinssatz/12,"")</f>
        <v>0</v>
      </c>
      <c r="J573" s="13">
        <f>IF(AnzahlZahlungen&lt;&gt;0,Tabelle1[[#This Row],[Startsaldo]]-Tabelle1[[#This Row],[Zahlung gesamt]],"")</f>
        <v>0</v>
      </c>
      <c r="K573" s="14">
        <f>K572+Tabelle1[[#This Row],[Zinsleistung]]</f>
        <v>58389.377411997804</v>
      </c>
    </row>
    <row r="574" spans="2:11" x14ac:dyDescent="0.25">
      <c r="B574" s="11">
        <f t="shared" si="18"/>
        <v>559</v>
      </c>
      <c r="C574" s="12">
        <f>IF(1,Startdatum,"")</f>
        <v>43281</v>
      </c>
      <c r="D574" s="13">
        <f t="shared" si="17"/>
        <v>0</v>
      </c>
      <c r="E574" s="14">
        <f>IF(AnzahlZahlungen&lt;&gt;"",IF(Tabelle1[[#This Row],[Startsaldo]]&lt;Rate,Tabelle1[[#This Row],[Startsaldo]],Rate),"")</f>
        <v>0</v>
      </c>
      <c r="F574" s="19"/>
      <c r="G574" s="13">
        <f>Tabelle1[[#This Row],[Planmässige Zahlung ]]+Tabelle1[[#This Row],[Sonderzahlung]]</f>
        <v>0</v>
      </c>
      <c r="H574" s="14">
        <f>Tabelle1[[#This Row],[Zahlung gesamt]]-Tabelle1[[#This Row],[Zinsleistung]]</f>
        <v>0</v>
      </c>
      <c r="I574" s="14">
        <f>IF(AnzahlZahlungen&lt;&gt;"",Tabelle1[[#This Row],[Startsaldo]]*Zinssatz/12,"")</f>
        <v>0</v>
      </c>
      <c r="J574" s="13">
        <f>IF(AnzahlZahlungen&lt;&gt;0,Tabelle1[[#This Row],[Startsaldo]]-Tabelle1[[#This Row],[Zahlung gesamt]],"")</f>
        <v>0</v>
      </c>
      <c r="K574" s="14">
        <f>K573+Tabelle1[[#This Row],[Zinsleistung]]</f>
        <v>58389.377411997804</v>
      </c>
    </row>
    <row r="575" spans="2:11" x14ac:dyDescent="0.25">
      <c r="B575" s="11">
        <f t="shared" si="18"/>
        <v>560</v>
      </c>
      <c r="C575" s="12">
        <f>IF(1,Startdatum,"")</f>
        <v>43281</v>
      </c>
      <c r="D575" s="13">
        <f t="shared" si="17"/>
        <v>0</v>
      </c>
      <c r="E575" s="14">
        <f>IF(AnzahlZahlungen&lt;&gt;"",IF(Tabelle1[[#This Row],[Startsaldo]]&lt;Rate,Tabelle1[[#This Row],[Startsaldo]],Rate),"")</f>
        <v>0</v>
      </c>
      <c r="F575" s="19"/>
      <c r="G575" s="13">
        <f>Tabelle1[[#This Row],[Planmässige Zahlung ]]+Tabelle1[[#This Row],[Sonderzahlung]]</f>
        <v>0</v>
      </c>
      <c r="H575" s="14">
        <f>Tabelle1[[#This Row],[Zahlung gesamt]]-Tabelle1[[#This Row],[Zinsleistung]]</f>
        <v>0</v>
      </c>
      <c r="I575" s="14">
        <f>IF(AnzahlZahlungen&lt;&gt;"",Tabelle1[[#This Row],[Startsaldo]]*Zinssatz/12,"")</f>
        <v>0</v>
      </c>
      <c r="J575" s="13">
        <f>IF(AnzahlZahlungen&lt;&gt;0,Tabelle1[[#This Row],[Startsaldo]]-Tabelle1[[#This Row],[Zahlung gesamt]],"")</f>
        <v>0</v>
      </c>
      <c r="K575" s="14">
        <f>K574+Tabelle1[[#This Row],[Zinsleistung]]</f>
        <v>58389.377411997804</v>
      </c>
    </row>
    <row r="576" spans="2:11" x14ac:dyDescent="0.25">
      <c r="B576" s="11">
        <f t="shared" si="18"/>
        <v>561</v>
      </c>
      <c r="C576" s="12">
        <f>IF(1,Startdatum,"")</f>
        <v>43281</v>
      </c>
      <c r="D576" s="13">
        <f t="shared" si="17"/>
        <v>0</v>
      </c>
      <c r="E576" s="14">
        <f>IF(AnzahlZahlungen&lt;&gt;"",IF(Tabelle1[[#This Row],[Startsaldo]]&lt;Rate,Tabelle1[[#This Row],[Startsaldo]],Rate),"")</f>
        <v>0</v>
      </c>
      <c r="F576" s="19"/>
      <c r="G576" s="13">
        <f>Tabelle1[[#This Row],[Planmässige Zahlung ]]+Tabelle1[[#This Row],[Sonderzahlung]]</f>
        <v>0</v>
      </c>
      <c r="H576" s="14">
        <f>Tabelle1[[#This Row],[Zahlung gesamt]]-Tabelle1[[#This Row],[Zinsleistung]]</f>
        <v>0</v>
      </c>
      <c r="I576" s="14">
        <f>IF(AnzahlZahlungen&lt;&gt;"",Tabelle1[[#This Row],[Startsaldo]]*Zinssatz/12,"")</f>
        <v>0</v>
      </c>
      <c r="J576" s="13">
        <f>IF(AnzahlZahlungen&lt;&gt;0,Tabelle1[[#This Row],[Startsaldo]]-Tabelle1[[#This Row],[Zahlung gesamt]],"")</f>
        <v>0</v>
      </c>
      <c r="K576" s="14">
        <f>K575+Tabelle1[[#This Row],[Zinsleistung]]</f>
        <v>58389.377411997804</v>
      </c>
    </row>
    <row r="577" spans="2:11" x14ac:dyDescent="0.25">
      <c r="B577" s="11">
        <f t="shared" si="18"/>
        <v>562</v>
      </c>
      <c r="C577" s="12">
        <f>IF(1,Startdatum,"")</f>
        <v>43281</v>
      </c>
      <c r="D577" s="13">
        <f t="shared" si="17"/>
        <v>0</v>
      </c>
      <c r="E577" s="14">
        <f>IF(AnzahlZahlungen&lt;&gt;"",IF(Tabelle1[[#This Row],[Startsaldo]]&lt;Rate,Tabelle1[[#This Row],[Startsaldo]],Rate),"")</f>
        <v>0</v>
      </c>
      <c r="F577" s="19"/>
      <c r="G577" s="13">
        <f>Tabelle1[[#This Row],[Planmässige Zahlung ]]+Tabelle1[[#This Row],[Sonderzahlung]]</f>
        <v>0</v>
      </c>
      <c r="H577" s="14">
        <f>Tabelle1[[#This Row],[Zahlung gesamt]]-Tabelle1[[#This Row],[Zinsleistung]]</f>
        <v>0</v>
      </c>
      <c r="I577" s="14">
        <f>IF(AnzahlZahlungen&lt;&gt;"",Tabelle1[[#This Row],[Startsaldo]]*Zinssatz/12,"")</f>
        <v>0</v>
      </c>
      <c r="J577" s="13">
        <f>IF(AnzahlZahlungen&lt;&gt;0,Tabelle1[[#This Row],[Startsaldo]]-Tabelle1[[#This Row],[Zahlung gesamt]],"")</f>
        <v>0</v>
      </c>
      <c r="K577" s="14">
        <f>K576+Tabelle1[[#This Row],[Zinsleistung]]</f>
        <v>58389.377411997804</v>
      </c>
    </row>
    <row r="578" spans="2:11" x14ac:dyDescent="0.25">
      <c r="B578" s="11">
        <f t="shared" si="18"/>
        <v>563</v>
      </c>
      <c r="C578" s="12">
        <f>IF(1,Startdatum,"")</f>
        <v>43281</v>
      </c>
      <c r="D578" s="13">
        <f t="shared" si="17"/>
        <v>0</v>
      </c>
      <c r="E578" s="14">
        <f>IF(AnzahlZahlungen&lt;&gt;"",IF(Tabelle1[[#This Row],[Startsaldo]]&lt;Rate,Tabelle1[[#This Row],[Startsaldo]],Rate),"")</f>
        <v>0</v>
      </c>
      <c r="F578" s="19"/>
      <c r="G578" s="13">
        <f>Tabelle1[[#This Row],[Planmässige Zahlung ]]+Tabelle1[[#This Row],[Sonderzahlung]]</f>
        <v>0</v>
      </c>
      <c r="H578" s="14">
        <f>Tabelle1[[#This Row],[Zahlung gesamt]]-Tabelle1[[#This Row],[Zinsleistung]]</f>
        <v>0</v>
      </c>
      <c r="I578" s="14">
        <f>IF(AnzahlZahlungen&lt;&gt;"",Tabelle1[[#This Row],[Startsaldo]]*Zinssatz/12,"")</f>
        <v>0</v>
      </c>
      <c r="J578" s="13">
        <f>IF(AnzahlZahlungen&lt;&gt;0,Tabelle1[[#This Row],[Startsaldo]]-Tabelle1[[#This Row],[Zahlung gesamt]],"")</f>
        <v>0</v>
      </c>
      <c r="K578" s="14">
        <f>K577+Tabelle1[[#This Row],[Zinsleistung]]</f>
        <v>58389.377411997804</v>
      </c>
    </row>
    <row r="579" spans="2:11" x14ac:dyDescent="0.25">
      <c r="B579" s="11">
        <f t="shared" si="18"/>
        <v>564</v>
      </c>
      <c r="C579" s="12">
        <f>IF(1,Startdatum,"")</f>
        <v>43281</v>
      </c>
      <c r="D579" s="13">
        <f t="shared" si="17"/>
        <v>0</v>
      </c>
      <c r="E579" s="14">
        <f>IF(AnzahlZahlungen&lt;&gt;"",IF(Tabelle1[[#This Row],[Startsaldo]]&lt;Rate,Tabelle1[[#This Row],[Startsaldo]],Rate),"")</f>
        <v>0</v>
      </c>
      <c r="F579" s="19"/>
      <c r="G579" s="13">
        <f>Tabelle1[[#This Row],[Planmässige Zahlung ]]+Tabelle1[[#This Row],[Sonderzahlung]]</f>
        <v>0</v>
      </c>
      <c r="H579" s="14">
        <f>Tabelle1[[#This Row],[Zahlung gesamt]]-Tabelle1[[#This Row],[Zinsleistung]]</f>
        <v>0</v>
      </c>
      <c r="I579" s="14">
        <f>IF(AnzahlZahlungen&lt;&gt;"",Tabelle1[[#This Row],[Startsaldo]]*Zinssatz/12,"")</f>
        <v>0</v>
      </c>
      <c r="J579" s="13">
        <f>IF(AnzahlZahlungen&lt;&gt;0,Tabelle1[[#This Row],[Startsaldo]]-Tabelle1[[#This Row],[Zahlung gesamt]],"")</f>
        <v>0</v>
      </c>
      <c r="K579" s="14">
        <f>K578+Tabelle1[[#This Row],[Zinsleistung]]</f>
        <v>58389.377411997804</v>
      </c>
    </row>
    <row r="580" spans="2:11" x14ac:dyDescent="0.25">
      <c r="B580" s="11">
        <f t="shared" si="18"/>
        <v>565</v>
      </c>
      <c r="C580" s="12">
        <f>IF(1,Startdatum,"")</f>
        <v>43281</v>
      </c>
      <c r="D580" s="13">
        <f t="shared" si="17"/>
        <v>0</v>
      </c>
      <c r="E580" s="14">
        <f>IF(AnzahlZahlungen&lt;&gt;"",IF(Tabelle1[[#This Row],[Startsaldo]]&lt;Rate,Tabelle1[[#This Row],[Startsaldo]],Rate),"")</f>
        <v>0</v>
      </c>
      <c r="F580" s="19"/>
      <c r="G580" s="13">
        <f>Tabelle1[[#This Row],[Planmässige Zahlung ]]+Tabelle1[[#This Row],[Sonderzahlung]]</f>
        <v>0</v>
      </c>
      <c r="H580" s="14">
        <f>Tabelle1[[#This Row],[Zahlung gesamt]]-Tabelle1[[#This Row],[Zinsleistung]]</f>
        <v>0</v>
      </c>
      <c r="I580" s="14">
        <f>IF(AnzahlZahlungen&lt;&gt;"",Tabelle1[[#This Row],[Startsaldo]]*Zinssatz/12,"")</f>
        <v>0</v>
      </c>
      <c r="J580" s="13">
        <f>IF(AnzahlZahlungen&lt;&gt;0,Tabelle1[[#This Row],[Startsaldo]]-Tabelle1[[#This Row],[Zahlung gesamt]],"")</f>
        <v>0</v>
      </c>
      <c r="K580" s="14">
        <f>K579+Tabelle1[[#This Row],[Zinsleistung]]</f>
        <v>58389.377411997804</v>
      </c>
    </row>
    <row r="581" spans="2:11" x14ac:dyDescent="0.25">
      <c r="B581" s="11">
        <f t="shared" si="18"/>
        <v>566</v>
      </c>
      <c r="C581" s="12">
        <f>IF(1,Startdatum,"")</f>
        <v>43281</v>
      </c>
      <c r="D581" s="13">
        <f t="shared" si="17"/>
        <v>0</v>
      </c>
      <c r="E581" s="14">
        <f>IF(AnzahlZahlungen&lt;&gt;"",IF(Tabelle1[[#This Row],[Startsaldo]]&lt;Rate,Tabelle1[[#This Row],[Startsaldo]],Rate),"")</f>
        <v>0</v>
      </c>
      <c r="F581" s="19"/>
      <c r="G581" s="13">
        <f>Tabelle1[[#This Row],[Planmässige Zahlung ]]+Tabelle1[[#This Row],[Sonderzahlung]]</f>
        <v>0</v>
      </c>
      <c r="H581" s="14">
        <f>Tabelle1[[#This Row],[Zahlung gesamt]]-Tabelle1[[#This Row],[Zinsleistung]]</f>
        <v>0</v>
      </c>
      <c r="I581" s="14">
        <f>IF(AnzahlZahlungen&lt;&gt;"",Tabelle1[[#This Row],[Startsaldo]]*Zinssatz/12,"")</f>
        <v>0</v>
      </c>
      <c r="J581" s="13">
        <f>IF(AnzahlZahlungen&lt;&gt;0,Tabelle1[[#This Row],[Startsaldo]]-Tabelle1[[#This Row],[Zahlung gesamt]],"")</f>
        <v>0</v>
      </c>
      <c r="K581" s="14">
        <f>K580+Tabelle1[[#This Row],[Zinsleistung]]</f>
        <v>58389.377411997804</v>
      </c>
    </row>
    <row r="582" spans="2:11" x14ac:dyDescent="0.25">
      <c r="B582" s="11">
        <f t="shared" si="18"/>
        <v>567</v>
      </c>
      <c r="C582" s="12">
        <f>IF(1,Startdatum,"")</f>
        <v>43281</v>
      </c>
      <c r="D582" s="13">
        <f t="shared" si="17"/>
        <v>0</v>
      </c>
      <c r="E582" s="14">
        <f>IF(AnzahlZahlungen&lt;&gt;"",IF(Tabelle1[[#This Row],[Startsaldo]]&lt;Rate,Tabelle1[[#This Row],[Startsaldo]],Rate),"")</f>
        <v>0</v>
      </c>
      <c r="F582" s="19"/>
      <c r="G582" s="13">
        <f>Tabelle1[[#This Row],[Planmässige Zahlung ]]+Tabelle1[[#This Row],[Sonderzahlung]]</f>
        <v>0</v>
      </c>
      <c r="H582" s="14">
        <f>Tabelle1[[#This Row],[Zahlung gesamt]]-Tabelle1[[#This Row],[Zinsleistung]]</f>
        <v>0</v>
      </c>
      <c r="I582" s="14">
        <f>IF(AnzahlZahlungen&lt;&gt;"",Tabelle1[[#This Row],[Startsaldo]]*Zinssatz/12,"")</f>
        <v>0</v>
      </c>
      <c r="J582" s="13">
        <f>IF(AnzahlZahlungen&lt;&gt;0,Tabelle1[[#This Row],[Startsaldo]]-Tabelle1[[#This Row],[Zahlung gesamt]],"")</f>
        <v>0</v>
      </c>
      <c r="K582" s="14">
        <f>K581+Tabelle1[[#This Row],[Zinsleistung]]</f>
        <v>58389.377411997804</v>
      </c>
    </row>
    <row r="583" spans="2:11" x14ac:dyDescent="0.25">
      <c r="B583" s="11">
        <f t="shared" si="18"/>
        <v>568</v>
      </c>
      <c r="C583" s="12">
        <f>IF(1,Startdatum,"")</f>
        <v>43281</v>
      </c>
      <c r="D583" s="13">
        <f t="shared" si="17"/>
        <v>0</v>
      </c>
      <c r="E583" s="14">
        <f>IF(AnzahlZahlungen&lt;&gt;"",IF(Tabelle1[[#This Row],[Startsaldo]]&lt;Rate,Tabelle1[[#This Row],[Startsaldo]],Rate),"")</f>
        <v>0</v>
      </c>
      <c r="F583" s="19"/>
      <c r="G583" s="13">
        <f>Tabelle1[[#This Row],[Planmässige Zahlung ]]+Tabelle1[[#This Row],[Sonderzahlung]]</f>
        <v>0</v>
      </c>
      <c r="H583" s="14">
        <f>Tabelle1[[#This Row],[Zahlung gesamt]]-Tabelle1[[#This Row],[Zinsleistung]]</f>
        <v>0</v>
      </c>
      <c r="I583" s="14">
        <f>IF(AnzahlZahlungen&lt;&gt;"",Tabelle1[[#This Row],[Startsaldo]]*Zinssatz/12,"")</f>
        <v>0</v>
      </c>
      <c r="J583" s="13">
        <f>IF(AnzahlZahlungen&lt;&gt;0,Tabelle1[[#This Row],[Startsaldo]]-Tabelle1[[#This Row],[Zahlung gesamt]],"")</f>
        <v>0</v>
      </c>
      <c r="K583" s="14">
        <f>K582+Tabelle1[[#This Row],[Zinsleistung]]</f>
        <v>58389.377411997804</v>
      </c>
    </row>
    <row r="584" spans="2:11" x14ac:dyDescent="0.25">
      <c r="B584" s="11">
        <f t="shared" si="18"/>
        <v>569</v>
      </c>
      <c r="C584" s="12">
        <f>IF(1,Startdatum,"")</f>
        <v>43281</v>
      </c>
      <c r="D584" s="13">
        <f t="shared" si="17"/>
        <v>0</v>
      </c>
      <c r="E584" s="14">
        <f>IF(AnzahlZahlungen&lt;&gt;"",IF(Tabelle1[[#This Row],[Startsaldo]]&lt;Rate,Tabelle1[[#This Row],[Startsaldo]],Rate),"")</f>
        <v>0</v>
      </c>
      <c r="F584" s="19"/>
      <c r="G584" s="13">
        <f>Tabelle1[[#This Row],[Planmässige Zahlung ]]+Tabelle1[[#This Row],[Sonderzahlung]]</f>
        <v>0</v>
      </c>
      <c r="H584" s="14">
        <f>Tabelle1[[#This Row],[Zahlung gesamt]]-Tabelle1[[#This Row],[Zinsleistung]]</f>
        <v>0</v>
      </c>
      <c r="I584" s="14">
        <f>IF(AnzahlZahlungen&lt;&gt;"",Tabelle1[[#This Row],[Startsaldo]]*Zinssatz/12,"")</f>
        <v>0</v>
      </c>
      <c r="J584" s="13">
        <f>IF(AnzahlZahlungen&lt;&gt;0,Tabelle1[[#This Row],[Startsaldo]]-Tabelle1[[#This Row],[Zahlung gesamt]],"")</f>
        <v>0</v>
      </c>
      <c r="K584" s="14">
        <f>K583+Tabelle1[[#This Row],[Zinsleistung]]</f>
        <v>58389.377411997804</v>
      </c>
    </row>
    <row r="585" spans="2:11" x14ac:dyDescent="0.25">
      <c r="B585" s="11">
        <f t="shared" si="18"/>
        <v>570</v>
      </c>
      <c r="C585" s="12">
        <f>IF(1,Startdatum,"")</f>
        <v>43281</v>
      </c>
      <c r="D585" s="13">
        <f t="shared" si="17"/>
        <v>0</v>
      </c>
      <c r="E585" s="14">
        <f>IF(AnzahlZahlungen&lt;&gt;"",IF(Tabelle1[[#This Row],[Startsaldo]]&lt;Rate,Tabelle1[[#This Row],[Startsaldo]],Rate),"")</f>
        <v>0</v>
      </c>
      <c r="F585" s="19"/>
      <c r="G585" s="13">
        <f>Tabelle1[[#This Row],[Planmässige Zahlung ]]+Tabelle1[[#This Row],[Sonderzahlung]]</f>
        <v>0</v>
      </c>
      <c r="H585" s="14">
        <f>Tabelle1[[#This Row],[Zahlung gesamt]]-Tabelle1[[#This Row],[Zinsleistung]]</f>
        <v>0</v>
      </c>
      <c r="I585" s="14">
        <f>IF(AnzahlZahlungen&lt;&gt;"",Tabelle1[[#This Row],[Startsaldo]]*Zinssatz/12,"")</f>
        <v>0</v>
      </c>
      <c r="J585" s="13">
        <f>IF(AnzahlZahlungen&lt;&gt;0,Tabelle1[[#This Row],[Startsaldo]]-Tabelle1[[#This Row],[Zahlung gesamt]],"")</f>
        <v>0</v>
      </c>
      <c r="K585" s="14">
        <f>K584+Tabelle1[[#This Row],[Zinsleistung]]</f>
        <v>58389.377411997804</v>
      </c>
    </row>
    <row r="586" spans="2:11" x14ac:dyDescent="0.25">
      <c r="B586" s="11">
        <f t="shared" si="18"/>
        <v>571</v>
      </c>
      <c r="C586" s="12">
        <f>IF(1,Startdatum,"")</f>
        <v>43281</v>
      </c>
      <c r="D586" s="13">
        <f t="shared" si="17"/>
        <v>0</v>
      </c>
      <c r="E586" s="14">
        <f>IF(AnzahlZahlungen&lt;&gt;"",IF(Tabelle1[[#This Row],[Startsaldo]]&lt;Rate,Tabelle1[[#This Row],[Startsaldo]],Rate),"")</f>
        <v>0</v>
      </c>
      <c r="F586" s="19"/>
      <c r="G586" s="13">
        <f>Tabelle1[[#This Row],[Planmässige Zahlung ]]+Tabelle1[[#This Row],[Sonderzahlung]]</f>
        <v>0</v>
      </c>
      <c r="H586" s="14">
        <f>Tabelle1[[#This Row],[Zahlung gesamt]]-Tabelle1[[#This Row],[Zinsleistung]]</f>
        <v>0</v>
      </c>
      <c r="I586" s="14">
        <f>IF(AnzahlZahlungen&lt;&gt;"",Tabelle1[[#This Row],[Startsaldo]]*Zinssatz/12,"")</f>
        <v>0</v>
      </c>
      <c r="J586" s="13">
        <f>IF(AnzahlZahlungen&lt;&gt;0,Tabelle1[[#This Row],[Startsaldo]]-Tabelle1[[#This Row],[Zahlung gesamt]],"")</f>
        <v>0</v>
      </c>
      <c r="K586" s="14">
        <f>K585+Tabelle1[[#This Row],[Zinsleistung]]</f>
        <v>58389.377411997804</v>
      </c>
    </row>
    <row r="587" spans="2:11" x14ac:dyDescent="0.25">
      <c r="B587" s="11">
        <f t="shared" si="18"/>
        <v>572</v>
      </c>
      <c r="C587" s="12">
        <f>IF(1,Startdatum,"")</f>
        <v>43281</v>
      </c>
      <c r="D587" s="13">
        <f t="shared" si="17"/>
        <v>0</v>
      </c>
      <c r="E587" s="14">
        <f>IF(AnzahlZahlungen&lt;&gt;"",IF(Tabelle1[[#This Row],[Startsaldo]]&lt;Rate,Tabelle1[[#This Row],[Startsaldo]],Rate),"")</f>
        <v>0</v>
      </c>
      <c r="F587" s="19"/>
      <c r="G587" s="13">
        <f>Tabelle1[[#This Row],[Planmässige Zahlung ]]+Tabelle1[[#This Row],[Sonderzahlung]]</f>
        <v>0</v>
      </c>
      <c r="H587" s="14">
        <f>Tabelle1[[#This Row],[Zahlung gesamt]]-Tabelle1[[#This Row],[Zinsleistung]]</f>
        <v>0</v>
      </c>
      <c r="I587" s="14">
        <f>IF(AnzahlZahlungen&lt;&gt;"",Tabelle1[[#This Row],[Startsaldo]]*Zinssatz/12,"")</f>
        <v>0</v>
      </c>
      <c r="J587" s="13">
        <f>IF(AnzahlZahlungen&lt;&gt;0,Tabelle1[[#This Row],[Startsaldo]]-Tabelle1[[#This Row],[Zahlung gesamt]],"")</f>
        <v>0</v>
      </c>
      <c r="K587" s="14">
        <f>K586+Tabelle1[[#This Row],[Zinsleistung]]</f>
        <v>58389.377411997804</v>
      </c>
    </row>
    <row r="588" spans="2:11" x14ac:dyDescent="0.25">
      <c r="B588" s="11">
        <f t="shared" si="18"/>
        <v>573</v>
      </c>
      <c r="C588" s="12">
        <f>IF(1,Startdatum,"")</f>
        <v>43281</v>
      </c>
      <c r="D588" s="13">
        <f t="shared" si="17"/>
        <v>0</v>
      </c>
      <c r="E588" s="14">
        <f>IF(AnzahlZahlungen&lt;&gt;"",IF(Tabelle1[[#This Row],[Startsaldo]]&lt;Rate,Tabelle1[[#This Row],[Startsaldo]],Rate),"")</f>
        <v>0</v>
      </c>
      <c r="F588" s="19"/>
      <c r="G588" s="13">
        <f>Tabelle1[[#This Row],[Planmässige Zahlung ]]+Tabelle1[[#This Row],[Sonderzahlung]]</f>
        <v>0</v>
      </c>
      <c r="H588" s="14">
        <f>Tabelle1[[#This Row],[Zahlung gesamt]]-Tabelle1[[#This Row],[Zinsleistung]]</f>
        <v>0</v>
      </c>
      <c r="I588" s="14">
        <f>IF(AnzahlZahlungen&lt;&gt;"",Tabelle1[[#This Row],[Startsaldo]]*Zinssatz/12,"")</f>
        <v>0</v>
      </c>
      <c r="J588" s="13">
        <f>IF(AnzahlZahlungen&lt;&gt;0,Tabelle1[[#This Row],[Startsaldo]]-Tabelle1[[#This Row],[Zahlung gesamt]],"")</f>
        <v>0</v>
      </c>
      <c r="K588" s="14">
        <f>K587+Tabelle1[[#This Row],[Zinsleistung]]</f>
        <v>58389.377411997804</v>
      </c>
    </row>
    <row r="589" spans="2:11" x14ac:dyDescent="0.25">
      <c r="B589" s="11">
        <f t="shared" si="18"/>
        <v>574</v>
      </c>
      <c r="C589" s="12">
        <f>IF(1,Startdatum,"")</f>
        <v>43281</v>
      </c>
      <c r="D589" s="13">
        <f t="shared" si="17"/>
        <v>0</v>
      </c>
      <c r="E589" s="14">
        <f>IF(AnzahlZahlungen&lt;&gt;"",IF(Tabelle1[[#This Row],[Startsaldo]]&lt;Rate,Tabelle1[[#This Row],[Startsaldo]],Rate),"")</f>
        <v>0</v>
      </c>
      <c r="F589" s="19"/>
      <c r="G589" s="13">
        <f>Tabelle1[[#This Row],[Planmässige Zahlung ]]+Tabelle1[[#This Row],[Sonderzahlung]]</f>
        <v>0</v>
      </c>
      <c r="H589" s="14">
        <f>Tabelle1[[#This Row],[Zahlung gesamt]]-Tabelle1[[#This Row],[Zinsleistung]]</f>
        <v>0</v>
      </c>
      <c r="I589" s="14">
        <f>IF(AnzahlZahlungen&lt;&gt;"",Tabelle1[[#This Row],[Startsaldo]]*Zinssatz/12,"")</f>
        <v>0</v>
      </c>
      <c r="J589" s="13">
        <f>IF(AnzahlZahlungen&lt;&gt;0,Tabelle1[[#This Row],[Startsaldo]]-Tabelle1[[#This Row],[Zahlung gesamt]],"")</f>
        <v>0</v>
      </c>
      <c r="K589" s="14">
        <f>K588+Tabelle1[[#This Row],[Zinsleistung]]</f>
        <v>58389.377411997804</v>
      </c>
    </row>
    <row r="590" spans="2:11" x14ac:dyDescent="0.25">
      <c r="B590" s="11">
        <f t="shared" si="18"/>
        <v>575</v>
      </c>
      <c r="C590" s="12">
        <f>IF(1,Startdatum,"")</f>
        <v>43281</v>
      </c>
      <c r="D590" s="13">
        <f t="shared" si="17"/>
        <v>0</v>
      </c>
      <c r="E590" s="14">
        <f>IF(AnzahlZahlungen&lt;&gt;"",IF(Tabelle1[[#This Row],[Startsaldo]]&lt;Rate,Tabelle1[[#This Row],[Startsaldo]],Rate),"")</f>
        <v>0</v>
      </c>
      <c r="F590" s="19"/>
      <c r="G590" s="13">
        <f>Tabelle1[[#This Row],[Planmässige Zahlung ]]+Tabelle1[[#This Row],[Sonderzahlung]]</f>
        <v>0</v>
      </c>
      <c r="H590" s="14">
        <f>Tabelle1[[#This Row],[Zahlung gesamt]]-Tabelle1[[#This Row],[Zinsleistung]]</f>
        <v>0</v>
      </c>
      <c r="I590" s="14">
        <f>IF(AnzahlZahlungen&lt;&gt;"",Tabelle1[[#This Row],[Startsaldo]]*Zinssatz/12,"")</f>
        <v>0</v>
      </c>
      <c r="J590" s="13">
        <f>IF(AnzahlZahlungen&lt;&gt;0,Tabelle1[[#This Row],[Startsaldo]]-Tabelle1[[#This Row],[Zahlung gesamt]],"")</f>
        <v>0</v>
      </c>
      <c r="K590" s="14">
        <f>K589+Tabelle1[[#This Row],[Zinsleistung]]</f>
        <v>58389.377411997804</v>
      </c>
    </row>
    <row r="591" spans="2:11" x14ac:dyDescent="0.25">
      <c r="B591" s="11">
        <f t="shared" si="18"/>
        <v>576</v>
      </c>
      <c r="C591" s="12">
        <f>IF(1,Startdatum,"")</f>
        <v>43281</v>
      </c>
      <c r="D591" s="13">
        <f t="shared" si="17"/>
        <v>0</v>
      </c>
      <c r="E591" s="14">
        <f>IF(AnzahlZahlungen&lt;&gt;"",IF(Tabelle1[[#This Row],[Startsaldo]]&lt;Rate,Tabelle1[[#This Row],[Startsaldo]],Rate),"")</f>
        <v>0</v>
      </c>
      <c r="F591" s="19"/>
      <c r="G591" s="13">
        <f>Tabelle1[[#This Row],[Planmässige Zahlung ]]+Tabelle1[[#This Row],[Sonderzahlung]]</f>
        <v>0</v>
      </c>
      <c r="H591" s="14">
        <f>Tabelle1[[#This Row],[Zahlung gesamt]]-Tabelle1[[#This Row],[Zinsleistung]]</f>
        <v>0</v>
      </c>
      <c r="I591" s="14">
        <f>IF(AnzahlZahlungen&lt;&gt;"",Tabelle1[[#This Row],[Startsaldo]]*Zinssatz/12,"")</f>
        <v>0</v>
      </c>
      <c r="J591" s="13">
        <f>IF(AnzahlZahlungen&lt;&gt;0,Tabelle1[[#This Row],[Startsaldo]]-Tabelle1[[#This Row],[Zahlung gesamt]],"")</f>
        <v>0</v>
      </c>
      <c r="K591" s="14">
        <f>K590+Tabelle1[[#This Row],[Zinsleistung]]</f>
        <v>58389.377411997804</v>
      </c>
    </row>
    <row r="592" spans="2:11" x14ac:dyDescent="0.25">
      <c r="B592" s="11">
        <f t="shared" si="18"/>
        <v>577</v>
      </c>
      <c r="C592" s="12">
        <f>IF(1,Startdatum,"")</f>
        <v>43281</v>
      </c>
      <c r="D592" s="13">
        <f t="shared" si="17"/>
        <v>0</v>
      </c>
      <c r="E592" s="14">
        <f>IF(AnzahlZahlungen&lt;&gt;"",IF(Tabelle1[[#This Row],[Startsaldo]]&lt;Rate,Tabelle1[[#This Row],[Startsaldo]],Rate),"")</f>
        <v>0</v>
      </c>
      <c r="F592" s="19"/>
      <c r="G592" s="13">
        <f>Tabelle1[[#This Row],[Planmässige Zahlung ]]+Tabelle1[[#This Row],[Sonderzahlung]]</f>
        <v>0</v>
      </c>
      <c r="H592" s="14">
        <f>Tabelle1[[#This Row],[Zahlung gesamt]]-Tabelle1[[#This Row],[Zinsleistung]]</f>
        <v>0</v>
      </c>
      <c r="I592" s="14">
        <f>IF(AnzahlZahlungen&lt;&gt;"",Tabelle1[[#This Row],[Startsaldo]]*Zinssatz/12,"")</f>
        <v>0</v>
      </c>
      <c r="J592" s="13">
        <f>IF(AnzahlZahlungen&lt;&gt;0,Tabelle1[[#This Row],[Startsaldo]]-Tabelle1[[#This Row],[Zahlung gesamt]],"")</f>
        <v>0</v>
      </c>
      <c r="K592" s="14">
        <f>K591+Tabelle1[[#This Row],[Zinsleistung]]</f>
        <v>58389.377411997804</v>
      </c>
    </row>
    <row r="593" spans="2:11" x14ac:dyDescent="0.25">
      <c r="B593" s="11">
        <f t="shared" si="18"/>
        <v>578</v>
      </c>
      <c r="C593" s="12">
        <f>IF(1,Startdatum,"")</f>
        <v>43281</v>
      </c>
      <c r="D593" s="13">
        <f t="shared" ref="D593:D616" si="19">IF(D592&lt;=Rate,0,D592-H592)</f>
        <v>0</v>
      </c>
      <c r="E593" s="14">
        <f>IF(AnzahlZahlungen&lt;&gt;"",IF(Tabelle1[[#This Row],[Startsaldo]]&lt;Rate,Tabelle1[[#This Row],[Startsaldo]],Rate),"")</f>
        <v>0</v>
      </c>
      <c r="F593" s="19"/>
      <c r="G593" s="13">
        <f>Tabelle1[[#This Row],[Planmässige Zahlung ]]+Tabelle1[[#This Row],[Sonderzahlung]]</f>
        <v>0</v>
      </c>
      <c r="H593" s="14">
        <f>Tabelle1[[#This Row],[Zahlung gesamt]]-Tabelle1[[#This Row],[Zinsleistung]]</f>
        <v>0</v>
      </c>
      <c r="I593" s="14">
        <f>IF(AnzahlZahlungen&lt;&gt;"",Tabelle1[[#This Row],[Startsaldo]]*Zinssatz/12,"")</f>
        <v>0</v>
      </c>
      <c r="J593" s="13">
        <f>IF(AnzahlZahlungen&lt;&gt;0,Tabelle1[[#This Row],[Startsaldo]]-Tabelle1[[#This Row],[Zahlung gesamt]],"")</f>
        <v>0</v>
      </c>
      <c r="K593" s="14">
        <f>K592+Tabelle1[[#This Row],[Zinsleistung]]</f>
        <v>58389.377411997804</v>
      </c>
    </row>
    <row r="594" spans="2:11" x14ac:dyDescent="0.25">
      <c r="B594" s="11">
        <f t="shared" si="18"/>
        <v>579</v>
      </c>
      <c r="C594" s="12">
        <f>IF(1,Startdatum,"")</f>
        <v>43281</v>
      </c>
      <c r="D594" s="13">
        <f t="shared" si="19"/>
        <v>0</v>
      </c>
      <c r="E594" s="14">
        <f>IF(AnzahlZahlungen&lt;&gt;"",IF(Tabelle1[[#This Row],[Startsaldo]]&lt;Rate,Tabelle1[[#This Row],[Startsaldo]],Rate),"")</f>
        <v>0</v>
      </c>
      <c r="F594" s="19"/>
      <c r="G594" s="13">
        <f>Tabelle1[[#This Row],[Planmässige Zahlung ]]+Tabelle1[[#This Row],[Sonderzahlung]]</f>
        <v>0</v>
      </c>
      <c r="H594" s="14">
        <f>Tabelle1[[#This Row],[Zahlung gesamt]]-Tabelle1[[#This Row],[Zinsleistung]]</f>
        <v>0</v>
      </c>
      <c r="I594" s="14">
        <f>IF(AnzahlZahlungen&lt;&gt;"",Tabelle1[[#This Row],[Startsaldo]]*Zinssatz/12,"")</f>
        <v>0</v>
      </c>
      <c r="J594" s="13">
        <f>IF(AnzahlZahlungen&lt;&gt;0,Tabelle1[[#This Row],[Startsaldo]]-Tabelle1[[#This Row],[Zahlung gesamt]],"")</f>
        <v>0</v>
      </c>
      <c r="K594" s="14">
        <f>K593+Tabelle1[[#This Row],[Zinsleistung]]</f>
        <v>58389.377411997804</v>
      </c>
    </row>
    <row r="595" spans="2:11" x14ac:dyDescent="0.25">
      <c r="B595" s="11">
        <f t="shared" si="18"/>
        <v>580</v>
      </c>
      <c r="C595" s="12">
        <f>IF(1,Startdatum,"")</f>
        <v>43281</v>
      </c>
      <c r="D595" s="13">
        <f t="shared" si="19"/>
        <v>0</v>
      </c>
      <c r="E595" s="14">
        <f>IF(AnzahlZahlungen&lt;&gt;"",IF(Tabelle1[[#This Row],[Startsaldo]]&lt;Rate,Tabelle1[[#This Row],[Startsaldo]],Rate),"")</f>
        <v>0</v>
      </c>
      <c r="F595" s="19"/>
      <c r="G595" s="13">
        <f>Tabelle1[[#This Row],[Planmässige Zahlung ]]+Tabelle1[[#This Row],[Sonderzahlung]]</f>
        <v>0</v>
      </c>
      <c r="H595" s="14">
        <f>Tabelle1[[#This Row],[Zahlung gesamt]]-Tabelle1[[#This Row],[Zinsleistung]]</f>
        <v>0</v>
      </c>
      <c r="I595" s="14">
        <f>IF(AnzahlZahlungen&lt;&gt;"",Tabelle1[[#This Row],[Startsaldo]]*Zinssatz/12,"")</f>
        <v>0</v>
      </c>
      <c r="J595" s="13">
        <f>IF(AnzahlZahlungen&lt;&gt;0,Tabelle1[[#This Row],[Startsaldo]]-Tabelle1[[#This Row],[Zahlung gesamt]],"")</f>
        <v>0</v>
      </c>
      <c r="K595" s="14">
        <f>K594+Tabelle1[[#This Row],[Zinsleistung]]</f>
        <v>58389.377411997804</v>
      </c>
    </row>
    <row r="596" spans="2:11" x14ac:dyDescent="0.25">
      <c r="B596" s="11">
        <f t="shared" si="18"/>
        <v>581</v>
      </c>
      <c r="C596" s="12">
        <f>IF(1,Startdatum,"")</f>
        <v>43281</v>
      </c>
      <c r="D596" s="13">
        <f t="shared" si="19"/>
        <v>0</v>
      </c>
      <c r="E596" s="14">
        <f>IF(AnzahlZahlungen&lt;&gt;"",IF(Tabelle1[[#This Row],[Startsaldo]]&lt;Rate,Tabelle1[[#This Row],[Startsaldo]],Rate),"")</f>
        <v>0</v>
      </c>
      <c r="F596" s="19"/>
      <c r="G596" s="13">
        <f>Tabelle1[[#This Row],[Planmässige Zahlung ]]+Tabelle1[[#This Row],[Sonderzahlung]]</f>
        <v>0</v>
      </c>
      <c r="H596" s="14">
        <f>Tabelle1[[#This Row],[Zahlung gesamt]]-Tabelle1[[#This Row],[Zinsleistung]]</f>
        <v>0</v>
      </c>
      <c r="I596" s="14">
        <f>IF(AnzahlZahlungen&lt;&gt;"",Tabelle1[[#This Row],[Startsaldo]]*Zinssatz/12,"")</f>
        <v>0</v>
      </c>
      <c r="J596" s="13">
        <f>IF(AnzahlZahlungen&lt;&gt;0,Tabelle1[[#This Row],[Startsaldo]]-Tabelle1[[#This Row],[Zahlung gesamt]],"")</f>
        <v>0</v>
      </c>
      <c r="K596" s="14">
        <f>K595+Tabelle1[[#This Row],[Zinsleistung]]</f>
        <v>58389.377411997804</v>
      </c>
    </row>
    <row r="597" spans="2:11" x14ac:dyDescent="0.25">
      <c r="B597" s="11">
        <f t="shared" si="18"/>
        <v>582</v>
      </c>
      <c r="C597" s="12">
        <f>IF(1,Startdatum,"")</f>
        <v>43281</v>
      </c>
      <c r="D597" s="13">
        <f t="shared" si="19"/>
        <v>0</v>
      </c>
      <c r="E597" s="14">
        <f>IF(AnzahlZahlungen&lt;&gt;"",IF(Tabelle1[[#This Row],[Startsaldo]]&lt;Rate,Tabelle1[[#This Row],[Startsaldo]],Rate),"")</f>
        <v>0</v>
      </c>
      <c r="F597" s="19"/>
      <c r="G597" s="13">
        <f>Tabelle1[[#This Row],[Planmässige Zahlung ]]+Tabelle1[[#This Row],[Sonderzahlung]]</f>
        <v>0</v>
      </c>
      <c r="H597" s="14">
        <f>Tabelle1[[#This Row],[Zahlung gesamt]]-Tabelle1[[#This Row],[Zinsleistung]]</f>
        <v>0</v>
      </c>
      <c r="I597" s="14">
        <f>IF(AnzahlZahlungen&lt;&gt;"",Tabelle1[[#This Row],[Startsaldo]]*Zinssatz/12,"")</f>
        <v>0</v>
      </c>
      <c r="J597" s="13">
        <f>IF(AnzahlZahlungen&lt;&gt;0,Tabelle1[[#This Row],[Startsaldo]]-Tabelle1[[#This Row],[Zahlung gesamt]],"")</f>
        <v>0</v>
      </c>
      <c r="K597" s="14">
        <f>K596+Tabelle1[[#This Row],[Zinsleistung]]</f>
        <v>58389.377411997804</v>
      </c>
    </row>
    <row r="598" spans="2:11" x14ac:dyDescent="0.25">
      <c r="B598" s="11">
        <f t="shared" si="18"/>
        <v>583</v>
      </c>
      <c r="C598" s="12">
        <f>IF(1,Startdatum,"")</f>
        <v>43281</v>
      </c>
      <c r="D598" s="13">
        <f t="shared" si="19"/>
        <v>0</v>
      </c>
      <c r="E598" s="14">
        <f>IF(AnzahlZahlungen&lt;&gt;"",IF(Tabelle1[[#This Row],[Startsaldo]]&lt;Rate,Tabelle1[[#This Row],[Startsaldo]],Rate),"")</f>
        <v>0</v>
      </c>
      <c r="F598" s="19"/>
      <c r="G598" s="13">
        <f>Tabelle1[[#This Row],[Planmässige Zahlung ]]+Tabelle1[[#This Row],[Sonderzahlung]]</f>
        <v>0</v>
      </c>
      <c r="H598" s="14">
        <f>Tabelle1[[#This Row],[Zahlung gesamt]]-Tabelle1[[#This Row],[Zinsleistung]]</f>
        <v>0</v>
      </c>
      <c r="I598" s="14">
        <f>IF(AnzahlZahlungen&lt;&gt;"",Tabelle1[[#This Row],[Startsaldo]]*Zinssatz/12,"")</f>
        <v>0</v>
      </c>
      <c r="J598" s="13">
        <f>IF(AnzahlZahlungen&lt;&gt;0,Tabelle1[[#This Row],[Startsaldo]]-Tabelle1[[#This Row],[Zahlung gesamt]],"")</f>
        <v>0</v>
      </c>
      <c r="K598" s="14">
        <f>K597+Tabelle1[[#This Row],[Zinsleistung]]</f>
        <v>58389.377411997804</v>
      </c>
    </row>
    <row r="599" spans="2:11" x14ac:dyDescent="0.25">
      <c r="B599" s="11">
        <f t="shared" si="18"/>
        <v>584</v>
      </c>
      <c r="C599" s="12">
        <f>IF(1,Startdatum,"")</f>
        <v>43281</v>
      </c>
      <c r="D599" s="13">
        <f t="shared" si="19"/>
        <v>0</v>
      </c>
      <c r="E599" s="14">
        <f>IF(AnzahlZahlungen&lt;&gt;"",IF(Tabelle1[[#This Row],[Startsaldo]]&lt;Rate,Tabelle1[[#This Row],[Startsaldo]],Rate),"")</f>
        <v>0</v>
      </c>
      <c r="F599" s="19"/>
      <c r="G599" s="13">
        <f>Tabelle1[[#This Row],[Planmässige Zahlung ]]+Tabelle1[[#This Row],[Sonderzahlung]]</f>
        <v>0</v>
      </c>
      <c r="H599" s="14">
        <f>Tabelle1[[#This Row],[Zahlung gesamt]]-Tabelle1[[#This Row],[Zinsleistung]]</f>
        <v>0</v>
      </c>
      <c r="I599" s="14">
        <f>IF(AnzahlZahlungen&lt;&gt;"",Tabelle1[[#This Row],[Startsaldo]]*Zinssatz/12,"")</f>
        <v>0</v>
      </c>
      <c r="J599" s="13">
        <f>IF(AnzahlZahlungen&lt;&gt;0,Tabelle1[[#This Row],[Startsaldo]]-Tabelle1[[#This Row],[Zahlung gesamt]],"")</f>
        <v>0</v>
      </c>
      <c r="K599" s="14">
        <f>K598+Tabelle1[[#This Row],[Zinsleistung]]</f>
        <v>58389.377411997804</v>
      </c>
    </row>
    <row r="600" spans="2:11" x14ac:dyDescent="0.25">
      <c r="B600" s="11">
        <f t="shared" si="18"/>
        <v>585</v>
      </c>
      <c r="C600" s="12">
        <f>IF(1,Startdatum,"")</f>
        <v>43281</v>
      </c>
      <c r="D600" s="13">
        <f t="shared" si="19"/>
        <v>0</v>
      </c>
      <c r="E600" s="14">
        <f>IF(AnzahlZahlungen&lt;&gt;"",IF(Tabelle1[[#This Row],[Startsaldo]]&lt;Rate,Tabelle1[[#This Row],[Startsaldo]],Rate),"")</f>
        <v>0</v>
      </c>
      <c r="F600" s="19"/>
      <c r="G600" s="13">
        <f>Tabelle1[[#This Row],[Planmässige Zahlung ]]+Tabelle1[[#This Row],[Sonderzahlung]]</f>
        <v>0</v>
      </c>
      <c r="H600" s="14">
        <f>Tabelle1[[#This Row],[Zahlung gesamt]]-Tabelle1[[#This Row],[Zinsleistung]]</f>
        <v>0</v>
      </c>
      <c r="I600" s="14">
        <f>IF(AnzahlZahlungen&lt;&gt;"",Tabelle1[[#This Row],[Startsaldo]]*Zinssatz/12,"")</f>
        <v>0</v>
      </c>
      <c r="J600" s="13">
        <f>IF(AnzahlZahlungen&lt;&gt;0,Tabelle1[[#This Row],[Startsaldo]]-Tabelle1[[#This Row],[Zahlung gesamt]],"")</f>
        <v>0</v>
      </c>
      <c r="K600" s="14">
        <f>K599+Tabelle1[[#This Row],[Zinsleistung]]</f>
        <v>58389.377411997804</v>
      </c>
    </row>
    <row r="601" spans="2:11" x14ac:dyDescent="0.25">
      <c r="B601" s="11">
        <f t="shared" si="18"/>
        <v>586</v>
      </c>
      <c r="C601" s="12">
        <f>IF(1,Startdatum,"")</f>
        <v>43281</v>
      </c>
      <c r="D601" s="13">
        <f t="shared" si="19"/>
        <v>0</v>
      </c>
      <c r="E601" s="14">
        <f>IF(AnzahlZahlungen&lt;&gt;"",IF(Tabelle1[[#This Row],[Startsaldo]]&lt;Rate,Tabelle1[[#This Row],[Startsaldo]],Rate),"")</f>
        <v>0</v>
      </c>
      <c r="F601" s="19"/>
      <c r="G601" s="13">
        <f>Tabelle1[[#This Row],[Planmässige Zahlung ]]+Tabelle1[[#This Row],[Sonderzahlung]]</f>
        <v>0</v>
      </c>
      <c r="H601" s="14">
        <f>Tabelle1[[#This Row],[Zahlung gesamt]]-Tabelle1[[#This Row],[Zinsleistung]]</f>
        <v>0</v>
      </c>
      <c r="I601" s="14">
        <f>IF(AnzahlZahlungen&lt;&gt;"",Tabelle1[[#This Row],[Startsaldo]]*Zinssatz/12,"")</f>
        <v>0</v>
      </c>
      <c r="J601" s="13">
        <f>IF(AnzahlZahlungen&lt;&gt;0,Tabelle1[[#This Row],[Startsaldo]]-Tabelle1[[#This Row],[Zahlung gesamt]],"")</f>
        <v>0</v>
      </c>
      <c r="K601" s="14">
        <f>K600+Tabelle1[[#This Row],[Zinsleistung]]</f>
        <v>58389.377411997804</v>
      </c>
    </row>
    <row r="602" spans="2:11" x14ac:dyDescent="0.25">
      <c r="B602" s="11">
        <f t="shared" si="18"/>
        <v>587</v>
      </c>
      <c r="C602" s="12">
        <f>IF(1,Startdatum,"")</f>
        <v>43281</v>
      </c>
      <c r="D602" s="13">
        <f t="shared" si="19"/>
        <v>0</v>
      </c>
      <c r="E602" s="14">
        <f>IF(AnzahlZahlungen&lt;&gt;"",IF(Tabelle1[[#This Row],[Startsaldo]]&lt;Rate,Tabelle1[[#This Row],[Startsaldo]],Rate),"")</f>
        <v>0</v>
      </c>
      <c r="F602" s="19"/>
      <c r="G602" s="13">
        <f>Tabelle1[[#This Row],[Planmässige Zahlung ]]+Tabelle1[[#This Row],[Sonderzahlung]]</f>
        <v>0</v>
      </c>
      <c r="H602" s="14">
        <f>Tabelle1[[#This Row],[Zahlung gesamt]]-Tabelle1[[#This Row],[Zinsleistung]]</f>
        <v>0</v>
      </c>
      <c r="I602" s="14">
        <f>IF(AnzahlZahlungen&lt;&gt;"",Tabelle1[[#This Row],[Startsaldo]]*Zinssatz/12,"")</f>
        <v>0</v>
      </c>
      <c r="J602" s="13">
        <f>IF(AnzahlZahlungen&lt;&gt;0,Tabelle1[[#This Row],[Startsaldo]]-Tabelle1[[#This Row],[Zahlung gesamt]],"")</f>
        <v>0</v>
      </c>
      <c r="K602" s="14">
        <f>K601+Tabelle1[[#This Row],[Zinsleistung]]</f>
        <v>58389.377411997804</v>
      </c>
    </row>
    <row r="603" spans="2:11" x14ac:dyDescent="0.25">
      <c r="B603" s="11">
        <f t="shared" si="18"/>
        <v>588</v>
      </c>
      <c r="C603" s="12">
        <f>IF(1,Startdatum,"")</f>
        <v>43281</v>
      </c>
      <c r="D603" s="13">
        <f t="shared" si="19"/>
        <v>0</v>
      </c>
      <c r="E603" s="14">
        <f>IF(AnzahlZahlungen&lt;&gt;"",IF(Tabelle1[[#This Row],[Startsaldo]]&lt;Rate,Tabelle1[[#This Row],[Startsaldo]],Rate),"")</f>
        <v>0</v>
      </c>
      <c r="F603" s="19"/>
      <c r="G603" s="13">
        <f>Tabelle1[[#This Row],[Planmässige Zahlung ]]+Tabelle1[[#This Row],[Sonderzahlung]]</f>
        <v>0</v>
      </c>
      <c r="H603" s="14">
        <f>Tabelle1[[#This Row],[Zahlung gesamt]]-Tabelle1[[#This Row],[Zinsleistung]]</f>
        <v>0</v>
      </c>
      <c r="I603" s="14">
        <f>IF(AnzahlZahlungen&lt;&gt;"",Tabelle1[[#This Row],[Startsaldo]]*Zinssatz/12,"")</f>
        <v>0</v>
      </c>
      <c r="J603" s="13">
        <f>IF(AnzahlZahlungen&lt;&gt;0,Tabelle1[[#This Row],[Startsaldo]]-Tabelle1[[#This Row],[Zahlung gesamt]],"")</f>
        <v>0</v>
      </c>
      <c r="K603" s="14">
        <f>K602+Tabelle1[[#This Row],[Zinsleistung]]</f>
        <v>58389.377411997804</v>
      </c>
    </row>
    <row r="604" spans="2:11" x14ac:dyDescent="0.25">
      <c r="B604" s="11">
        <f t="shared" si="18"/>
        <v>589</v>
      </c>
      <c r="C604" s="12">
        <f>IF(1,Startdatum,"")</f>
        <v>43281</v>
      </c>
      <c r="D604" s="13">
        <f t="shared" si="19"/>
        <v>0</v>
      </c>
      <c r="E604" s="14">
        <f>IF(AnzahlZahlungen&lt;&gt;"",IF(Tabelle1[[#This Row],[Startsaldo]]&lt;Rate,Tabelle1[[#This Row],[Startsaldo]],Rate),"")</f>
        <v>0</v>
      </c>
      <c r="F604" s="19"/>
      <c r="G604" s="13">
        <f>Tabelle1[[#This Row],[Planmässige Zahlung ]]+Tabelle1[[#This Row],[Sonderzahlung]]</f>
        <v>0</v>
      </c>
      <c r="H604" s="14">
        <f>Tabelle1[[#This Row],[Zahlung gesamt]]-Tabelle1[[#This Row],[Zinsleistung]]</f>
        <v>0</v>
      </c>
      <c r="I604" s="14">
        <f>IF(AnzahlZahlungen&lt;&gt;"",Tabelle1[[#This Row],[Startsaldo]]*Zinssatz/12,"")</f>
        <v>0</v>
      </c>
      <c r="J604" s="13">
        <f>IF(AnzahlZahlungen&lt;&gt;0,Tabelle1[[#This Row],[Startsaldo]]-Tabelle1[[#This Row],[Zahlung gesamt]],"")</f>
        <v>0</v>
      </c>
      <c r="K604" s="14">
        <f>K603+Tabelle1[[#This Row],[Zinsleistung]]</f>
        <v>58389.377411997804</v>
      </c>
    </row>
    <row r="605" spans="2:11" x14ac:dyDescent="0.25">
      <c r="B605" s="11">
        <f t="shared" si="18"/>
        <v>590</v>
      </c>
      <c r="C605" s="12">
        <f>IF(1,Startdatum,"")</f>
        <v>43281</v>
      </c>
      <c r="D605" s="13">
        <f t="shared" si="19"/>
        <v>0</v>
      </c>
      <c r="E605" s="14">
        <f>IF(AnzahlZahlungen&lt;&gt;"",IF(Tabelle1[[#This Row],[Startsaldo]]&lt;Rate,Tabelle1[[#This Row],[Startsaldo]],Rate),"")</f>
        <v>0</v>
      </c>
      <c r="F605" s="19"/>
      <c r="G605" s="13">
        <f>Tabelle1[[#This Row],[Planmässige Zahlung ]]+Tabelle1[[#This Row],[Sonderzahlung]]</f>
        <v>0</v>
      </c>
      <c r="H605" s="14">
        <f>Tabelle1[[#This Row],[Zahlung gesamt]]-Tabelle1[[#This Row],[Zinsleistung]]</f>
        <v>0</v>
      </c>
      <c r="I605" s="14">
        <f>IF(AnzahlZahlungen&lt;&gt;"",Tabelle1[[#This Row],[Startsaldo]]*Zinssatz/12,"")</f>
        <v>0</v>
      </c>
      <c r="J605" s="13">
        <f>IF(AnzahlZahlungen&lt;&gt;0,Tabelle1[[#This Row],[Startsaldo]]-Tabelle1[[#This Row],[Zahlung gesamt]],"")</f>
        <v>0</v>
      </c>
      <c r="K605" s="14">
        <f>K604+Tabelle1[[#This Row],[Zinsleistung]]</f>
        <v>58389.377411997804</v>
      </c>
    </row>
    <row r="606" spans="2:11" x14ac:dyDescent="0.25">
      <c r="B606" s="11">
        <f t="shared" si="18"/>
        <v>591</v>
      </c>
      <c r="C606" s="12">
        <f>IF(1,Startdatum,"")</f>
        <v>43281</v>
      </c>
      <c r="D606" s="13">
        <f t="shared" si="19"/>
        <v>0</v>
      </c>
      <c r="E606" s="14">
        <f>IF(AnzahlZahlungen&lt;&gt;"",IF(Tabelle1[[#This Row],[Startsaldo]]&lt;Rate,Tabelle1[[#This Row],[Startsaldo]],Rate),"")</f>
        <v>0</v>
      </c>
      <c r="F606" s="19"/>
      <c r="G606" s="13">
        <f>Tabelle1[[#This Row],[Planmässige Zahlung ]]+Tabelle1[[#This Row],[Sonderzahlung]]</f>
        <v>0</v>
      </c>
      <c r="H606" s="14">
        <f>Tabelle1[[#This Row],[Zahlung gesamt]]-Tabelle1[[#This Row],[Zinsleistung]]</f>
        <v>0</v>
      </c>
      <c r="I606" s="14">
        <f>IF(AnzahlZahlungen&lt;&gt;"",Tabelle1[[#This Row],[Startsaldo]]*Zinssatz/12,"")</f>
        <v>0</v>
      </c>
      <c r="J606" s="13">
        <f>IF(AnzahlZahlungen&lt;&gt;0,Tabelle1[[#This Row],[Startsaldo]]-Tabelle1[[#This Row],[Zahlung gesamt]],"")</f>
        <v>0</v>
      </c>
      <c r="K606" s="14">
        <f>K605+Tabelle1[[#This Row],[Zinsleistung]]</f>
        <v>58389.377411997804</v>
      </c>
    </row>
    <row r="607" spans="2:11" x14ac:dyDescent="0.25">
      <c r="B607" s="11">
        <f t="shared" si="18"/>
        <v>592</v>
      </c>
      <c r="C607" s="12">
        <f>IF(1,Startdatum,"")</f>
        <v>43281</v>
      </c>
      <c r="D607" s="13">
        <f t="shared" si="19"/>
        <v>0</v>
      </c>
      <c r="E607" s="14">
        <f>IF(AnzahlZahlungen&lt;&gt;"",IF(Tabelle1[[#This Row],[Startsaldo]]&lt;Rate,Tabelle1[[#This Row],[Startsaldo]],Rate),"")</f>
        <v>0</v>
      </c>
      <c r="F607" s="19"/>
      <c r="G607" s="13">
        <f>Tabelle1[[#This Row],[Planmässige Zahlung ]]+Tabelle1[[#This Row],[Sonderzahlung]]</f>
        <v>0</v>
      </c>
      <c r="H607" s="14">
        <f>Tabelle1[[#This Row],[Zahlung gesamt]]-Tabelle1[[#This Row],[Zinsleistung]]</f>
        <v>0</v>
      </c>
      <c r="I607" s="14">
        <f>IF(AnzahlZahlungen&lt;&gt;"",Tabelle1[[#This Row],[Startsaldo]]*Zinssatz/12,"")</f>
        <v>0</v>
      </c>
      <c r="J607" s="13">
        <f>IF(AnzahlZahlungen&lt;&gt;0,Tabelle1[[#This Row],[Startsaldo]]-Tabelle1[[#This Row],[Zahlung gesamt]],"")</f>
        <v>0</v>
      </c>
      <c r="K607" s="14">
        <f>K606+Tabelle1[[#This Row],[Zinsleistung]]</f>
        <v>58389.377411997804</v>
      </c>
    </row>
    <row r="608" spans="2:11" x14ac:dyDescent="0.25">
      <c r="B608" s="11">
        <f t="shared" si="18"/>
        <v>593</v>
      </c>
      <c r="C608" s="12">
        <f>IF(1,Startdatum,"")</f>
        <v>43281</v>
      </c>
      <c r="D608" s="13">
        <f t="shared" si="19"/>
        <v>0</v>
      </c>
      <c r="E608" s="14">
        <f>IF(AnzahlZahlungen&lt;&gt;"",IF(Tabelle1[[#This Row],[Startsaldo]]&lt;Rate,Tabelle1[[#This Row],[Startsaldo]],Rate),"")</f>
        <v>0</v>
      </c>
      <c r="F608" s="19"/>
      <c r="G608" s="13">
        <f>Tabelle1[[#This Row],[Planmässige Zahlung ]]+Tabelle1[[#This Row],[Sonderzahlung]]</f>
        <v>0</v>
      </c>
      <c r="H608" s="14">
        <f>Tabelle1[[#This Row],[Zahlung gesamt]]-Tabelle1[[#This Row],[Zinsleistung]]</f>
        <v>0</v>
      </c>
      <c r="I608" s="14">
        <f>IF(AnzahlZahlungen&lt;&gt;"",Tabelle1[[#This Row],[Startsaldo]]*Zinssatz/12,"")</f>
        <v>0</v>
      </c>
      <c r="J608" s="13">
        <f>IF(AnzahlZahlungen&lt;&gt;0,Tabelle1[[#This Row],[Startsaldo]]-Tabelle1[[#This Row],[Zahlung gesamt]],"")</f>
        <v>0</v>
      </c>
      <c r="K608" s="14">
        <f>K607+Tabelle1[[#This Row],[Zinsleistung]]</f>
        <v>58389.377411997804</v>
      </c>
    </row>
    <row r="609" spans="2:11" x14ac:dyDescent="0.25">
      <c r="B609" s="11">
        <f t="shared" si="18"/>
        <v>594</v>
      </c>
      <c r="C609" s="12">
        <f>IF(1,Startdatum,"")</f>
        <v>43281</v>
      </c>
      <c r="D609" s="13">
        <f t="shared" si="19"/>
        <v>0</v>
      </c>
      <c r="E609" s="14">
        <f>IF(AnzahlZahlungen&lt;&gt;"",IF(Tabelle1[[#This Row],[Startsaldo]]&lt;Rate,Tabelle1[[#This Row],[Startsaldo]],Rate),"")</f>
        <v>0</v>
      </c>
      <c r="F609" s="19"/>
      <c r="G609" s="13">
        <f>Tabelle1[[#This Row],[Planmässige Zahlung ]]+Tabelle1[[#This Row],[Sonderzahlung]]</f>
        <v>0</v>
      </c>
      <c r="H609" s="14">
        <f>Tabelle1[[#This Row],[Zahlung gesamt]]-Tabelle1[[#This Row],[Zinsleistung]]</f>
        <v>0</v>
      </c>
      <c r="I609" s="14">
        <f>IF(AnzahlZahlungen&lt;&gt;"",Tabelle1[[#This Row],[Startsaldo]]*Zinssatz/12,"")</f>
        <v>0</v>
      </c>
      <c r="J609" s="13">
        <f>IF(AnzahlZahlungen&lt;&gt;0,Tabelle1[[#This Row],[Startsaldo]]-Tabelle1[[#This Row],[Zahlung gesamt]],"")</f>
        <v>0</v>
      </c>
      <c r="K609" s="14">
        <f>K608+Tabelle1[[#This Row],[Zinsleistung]]</f>
        <v>58389.377411997804</v>
      </c>
    </row>
    <row r="610" spans="2:11" x14ac:dyDescent="0.25">
      <c r="B610" s="11">
        <f t="shared" si="18"/>
        <v>595</v>
      </c>
      <c r="C610" s="12">
        <f>IF(1,Startdatum,"")</f>
        <v>43281</v>
      </c>
      <c r="D610" s="13">
        <f t="shared" si="19"/>
        <v>0</v>
      </c>
      <c r="E610" s="14">
        <f>IF(AnzahlZahlungen&lt;&gt;"",IF(Tabelle1[[#This Row],[Startsaldo]]&lt;Rate,Tabelle1[[#This Row],[Startsaldo]],Rate),"")</f>
        <v>0</v>
      </c>
      <c r="F610" s="19"/>
      <c r="G610" s="13">
        <f>Tabelle1[[#This Row],[Planmässige Zahlung ]]+Tabelle1[[#This Row],[Sonderzahlung]]</f>
        <v>0</v>
      </c>
      <c r="H610" s="14">
        <f>Tabelle1[[#This Row],[Zahlung gesamt]]-Tabelle1[[#This Row],[Zinsleistung]]</f>
        <v>0</v>
      </c>
      <c r="I610" s="14">
        <f>IF(AnzahlZahlungen&lt;&gt;"",Tabelle1[[#This Row],[Startsaldo]]*Zinssatz/12,"")</f>
        <v>0</v>
      </c>
      <c r="J610" s="13">
        <f>IF(AnzahlZahlungen&lt;&gt;0,Tabelle1[[#This Row],[Startsaldo]]-Tabelle1[[#This Row],[Zahlung gesamt]],"")</f>
        <v>0</v>
      </c>
      <c r="K610" s="14">
        <f>K609+Tabelle1[[#This Row],[Zinsleistung]]</f>
        <v>58389.377411997804</v>
      </c>
    </row>
    <row r="611" spans="2:11" x14ac:dyDescent="0.25">
      <c r="B611" s="11">
        <f t="shared" si="18"/>
        <v>596</v>
      </c>
      <c r="C611" s="12">
        <f>IF(1,Startdatum,"")</f>
        <v>43281</v>
      </c>
      <c r="D611" s="13">
        <f t="shared" si="19"/>
        <v>0</v>
      </c>
      <c r="E611" s="14">
        <f>IF(AnzahlZahlungen&lt;&gt;"",IF(Tabelle1[[#This Row],[Startsaldo]]&lt;Rate,Tabelle1[[#This Row],[Startsaldo]],Rate),"")</f>
        <v>0</v>
      </c>
      <c r="F611" s="19"/>
      <c r="G611" s="13">
        <f>Tabelle1[[#This Row],[Planmässige Zahlung ]]+Tabelle1[[#This Row],[Sonderzahlung]]</f>
        <v>0</v>
      </c>
      <c r="H611" s="14">
        <f>Tabelle1[[#This Row],[Zahlung gesamt]]-Tabelle1[[#This Row],[Zinsleistung]]</f>
        <v>0</v>
      </c>
      <c r="I611" s="14">
        <f>IF(AnzahlZahlungen&lt;&gt;"",Tabelle1[[#This Row],[Startsaldo]]*Zinssatz/12,"")</f>
        <v>0</v>
      </c>
      <c r="J611" s="13">
        <f>IF(AnzahlZahlungen&lt;&gt;0,Tabelle1[[#This Row],[Startsaldo]]-Tabelle1[[#This Row],[Zahlung gesamt]],"")</f>
        <v>0</v>
      </c>
      <c r="K611" s="14">
        <f>K610+Tabelle1[[#This Row],[Zinsleistung]]</f>
        <v>58389.377411997804</v>
      </c>
    </row>
    <row r="612" spans="2:11" x14ac:dyDescent="0.25">
      <c r="B612" s="11">
        <f t="shared" si="18"/>
        <v>597</v>
      </c>
      <c r="C612" s="12">
        <f>IF(1,Startdatum,"")</f>
        <v>43281</v>
      </c>
      <c r="D612" s="13">
        <f t="shared" si="19"/>
        <v>0</v>
      </c>
      <c r="E612" s="14">
        <f>IF(AnzahlZahlungen&lt;&gt;"",IF(Tabelle1[[#This Row],[Startsaldo]]&lt;Rate,Tabelle1[[#This Row],[Startsaldo]],Rate),"")</f>
        <v>0</v>
      </c>
      <c r="F612" s="19"/>
      <c r="G612" s="13">
        <f>Tabelle1[[#This Row],[Planmässige Zahlung ]]+Tabelle1[[#This Row],[Sonderzahlung]]</f>
        <v>0</v>
      </c>
      <c r="H612" s="14">
        <f>Tabelle1[[#This Row],[Zahlung gesamt]]-Tabelle1[[#This Row],[Zinsleistung]]</f>
        <v>0</v>
      </c>
      <c r="I612" s="14">
        <f>IF(AnzahlZahlungen&lt;&gt;"",Tabelle1[[#This Row],[Startsaldo]]*Zinssatz/12,"")</f>
        <v>0</v>
      </c>
      <c r="J612" s="13">
        <f>IF(AnzahlZahlungen&lt;&gt;0,Tabelle1[[#This Row],[Startsaldo]]-Tabelle1[[#This Row],[Zahlung gesamt]],"")</f>
        <v>0</v>
      </c>
      <c r="K612" s="14">
        <f>K611+Tabelle1[[#This Row],[Zinsleistung]]</f>
        <v>58389.377411997804</v>
      </c>
    </row>
    <row r="613" spans="2:11" x14ac:dyDescent="0.25">
      <c r="B613" s="11">
        <f t="shared" si="18"/>
        <v>598</v>
      </c>
      <c r="C613" s="12">
        <f>IF(1,Startdatum,"")</f>
        <v>43281</v>
      </c>
      <c r="D613" s="13">
        <f t="shared" si="19"/>
        <v>0</v>
      </c>
      <c r="E613" s="14">
        <f>IF(AnzahlZahlungen&lt;&gt;"",IF(Tabelle1[[#This Row],[Startsaldo]]&lt;Rate,Tabelle1[[#This Row],[Startsaldo]],Rate),"")</f>
        <v>0</v>
      </c>
      <c r="F613" s="19"/>
      <c r="G613" s="13">
        <f>Tabelle1[[#This Row],[Planmässige Zahlung ]]+Tabelle1[[#This Row],[Sonderzahlung]]</f>
        <v>0</v>
      </c>
      <c r="H613" s="14">
        <f>Tabelle1[[#This Row],[Zahlung gesamt]]-Tabelle1[[#This Row],[Zinsleistung]]</f>
        <v>0</v>
      </c>
      <c r="I613" s="14">
        <f>IF(AnzahlZahlungen&lt;&gt;"",Tabelle1[[#This Row],[Startsaldo]]*Zinssatz/12,"")</f>
        <v>0</v>
      </c>
      <c r="J613" s="13">
        <f>IF(AnzahlZahlungen&lt;&gt;0,Tabelle1[[#This Row],[Startsaldo]]-Tabelle1[[#This Row],[Zahlung gesamt]],"")</f>
        <v>0</v>
      </c>
      <c r="K613" s="14">
        <f>K612+Tabelle1[[#This Row],[Zinsleistung]]</f>
        <v>58389.377411997804</v>
      </c>
    </row>
    <row r="614" spans="2:11" x14ac:dyDescent="0.25">
      <c r="B614" s="11">
        <f t="shared" si="18"/>
        <v>599</v>
      </c>
      <c r="C614" s="12">
        <f>IF(1,Startdatum,"")</f>
        <v>43281</v>
      </c>
      <c r="D614" s="13">
        <f t="shared" si="19"/>
        <v>0</v>
      </c>
      <c r="E614" s="14">
        <f>IF(AnzahlZahlungen&lt;&gt;"",IF(Tabelle1[[#This Row],[Startsaldo]]&lt;Rate,Tabelle1[[#This Row],[Startsaldo]],Rate),"")</f>
        <v>0</v>
      </c>
      <c r="F614" s="19"/>
      <c r="G614" s="13">
        <f>Tabelle1[[#This Row],[Planmässige Zahlung ]]+Tabelle1[[#This Row],[Sonderzahlung]]</f>
        <v>0</v>
      </c>
      <c r="H614" s="14">
        <f>Tabelle1[[#This Row],[Zahlung gesamt]]-Tabelle1[[#This Row],[Zinsleistung]]</f>
        <v>0</v>
      </c>
      <c r="I614" s="14">
        <f>IF(AnzahlZahlungen&lt;&gt;"",Tabelle1[[#This Row],[Startsaldo]]*Zinssatz/12,"")</f>
        <v>0</v>
      </c>
      <c r="J614" s="13">
        <f>IF(AnzahlZahlungen&lt;&gt;0,Tabelle1[[#This Row],[Startsaldo]]-Tabelle1[[#This Row],[Zahlung gesamt]],"")</f>
        <v>0</v>
      </c>
      <c r="K614" s="14">
        <f>K613+Tabelle1[[#This Row],[Zinsleistung]]</f>
        <v>58389.377411997804</v>
      </c>
    </row>
    <row r="615" spans="2:11" x14ac:dyDescent="0.25">
      <c r="B615" s="11">
        <f t="shared" si="18"/>
        <v>600</v>
      </c>
      <c r="C615" s="12">
        <f>IF(1,Startdatum,"")</f>
        <v>43281</v>
      </c>
      <c r="D615" s="13">
        <f t="shared" si="19"/>
        <v>0</v>
      </c>
      <c r="E615" s="14">
        <f>IF(AnzahlZahlungen&lt;&gt;"",IF(Tabelle1[[#This Row],[Startsaldo]]&lt;Rate,Tabelle1[[#This Row],[Startsaldo]],Rate),"")</f>
        <v>0</v>
      </c>
      <c r="F615" s="19"/>
      <c r="G615" s="13">
        <f>Tabelle1[[#This Row],[Planmässige Zahlung ]]+Tabelle1[[#This Row],[Sonderzahlung]]</f>
        <v>0</v>
      </c>
      <c r="H615" s="14">
        <f>Tabelle1[[#This Row],[Zahlung gesamt]]-Tabelle1[[#This Row],[Zinsleistung]]</f>
        <v>0</v>
      </c>
      <c r="I615" s="14">
        <f>IF(AnzahlZahlungen&lt;&gt;"",Tabelle1[[#This Row],[Startsaldo]]*Zinssatz/12,"")</f>
        <v>0</v>
      </c>
      <c r="J615" s="13">
        <f>IF(AnzahlZahlungen&lt;&gt;0,Tabelle1[[#This Row],[Startsaldo]]-Tabelle1[[#This Row],[Zahlung gesamt]],"")</f>
        <v>0</v>
      </c>
      <c r="K615" s="14">
        <f>K614+Tabelle1[[#This Row],[Zinsleistung]]</f>
        <v>58389.377411997804</v>
      </c>
    </row>
    <row r="616" spans="2:11" x14ac:dyDescent="0.25">
      <c r="B616" s="11">
        <f t="shared" si="18"/>
        <v>601</v>
      </c>
      <c r="C616" s="12">
        <f>IF(1,Startdatum,"")</f>
        <v>43281</v>
      </c>
      <c r="D616" s="13">
        <f t="shared" si="19"/>
        <v>0</v>
      </c>
      <c r="E616" s="14">
        <f>IF(AnzahlZahlungen&lt;&gt;"",IF(Tabelle1[[#This Row],[Startsaldo]]&lt;Rate,Tabelle1[[#This Row],[Startsaldo]],Rate),"")</f>
        <v>0</v>
      </c>
      <c r="F616" s="19"/>
      <c r="G616" s="13">
        <f>Tabelle1[[#This Row],[Planmässige Zahlung ]]+Tabelle1[[#This Row],[Sonderzahlung]]</f>
        <v>0</v>
      </c>
      <c r="H616" s="14">
        <f>Tabelle1[[#This Row],[Zahlung gesamt]]-Tabelle1[[#This Row],[Zinsleistung]]</f>
        <v>0</v>
      </c>
      <c r="I616" s="14">
        <f>IF(AnzahlZahlungen&lt;&gt;"",Tabelle1[[#This Row],[Startsaldo]]*Zinssatz/12,"")</f>
        <v>0</v>
      </c>
      <c r="J616" s="13">
        <f>IF(AnzahlZahlungen&lt;&gt;0,Tabelle1[[#This Row],[Startsaldo]]-Tabelle1[[#This Row],[Zahlung gesamt]],"")</f>
        <v>0</v>
      </c>
      <c r="K616" s="14">
        <f>K615+Tabelle1[[#This Row],[Zinsleistung]]</f>
        <v>58389.377411997804</v>
      </c>
    </row>
  </sheetData>
  <sheetProtection algorithmName="SHA-512" hashValue="vpVTWtigt7T05DRJpyIt436bECE5WH9HDIioVHmOR3KmrTybYHj8O7SGTgxZnM1Qx1qAw/s2U/XT93+8xrRUhA==" saltValue="VmkUcMcz+9k4l8yXwENHhA==" spinCount="100000" sheet="1" objects="1" scenarios="1" selectLockedCells="1"/>
  <mergeCells count="37">
    <mergeCell ref="C2:C13"/>
    <mergeCell ref="D2:D3"/>
    <mergeCell ref="D4:D5"/>
    <mergeCell ref="D6:D7"/>
    <mergeCell ref="D8:D9"/>
    <mergeCell ref="D12:D13"/>
    <mergeCell ref="D10:D11"/>
    <mergeCell ref="B1:K1"/>
    <mergeCell ref="I2:I13"/>
    <mergeCell ref="J2:J3"/>
    <mergeCell ref="J4:J5"/>
    <mergeCell ref="J6:J7"/>
    <mergeCell ref="J12:J13"/>
    <mergeCell ref="G2:G3"/>
    <mergeCell ref="G4:G5"/>
    <mergeCell ref="G6:G7"/>
    <mergeCell ref="G8:G9"/>
    <mergeCell ref="G12:G13"/>
    <mergeCell ref="H2:H3"/>
    <mergeCell ref="H4:H5"/>
    <mergeCell ref="H6:H7"/>
    <mergeCell ref="H8:H9"/>
    <mergeCell ref="K2:K3"/>
    <mergeCell ref="K4:K5"/>
    <mergeCell ref="E10:E11"/>
    <mergeCell ref="K8:K9"/>
    <mergeCell ref="K12:K13"/>
    <mergeCell ref="K6:K7"/>
    <mergeCell ref="H12:H13"/>
    <mergeCell ref="E4:E5"/>
    <mergeCell ref="E6:E7"/>
    <mergeCell ref="E8:E9"/>
    <mergeCell ref="E12:E13"/>
    <mergeCell ref="F2:F13"/>
    <mergeCell ref="E2:E3"/>
    <mergeCell ref="G10:G11"/>
    <mergeCell ref="H10:H11"/>
  </mergeCells>
  <dataValidations count="2">
    <dataValidation type="whole" allowBlank="1" showInputMessage="1" showErrorMessage="1" sqref="E6:E7" xr:uid="{00000000-0002-0000-0000-000000000000}">
      <formula1>0</formula1>
      <formula2>50</formula2>
    </dataValidation>
    <dataValidation type="whole" allowBlank="1" showInputMessage="1" showErrorMessage="1" sqref="E8:E9" xr:uid="{00000000-0002-0000-0000-000001000000}">
      <formula1>0</formula1>
      <formula2>12</formula2>
    </dataValidation>
  </dataValidations>
  <pageMargins left="0.7" right="0.7" top="0.78740157499999996" bottom="0.78740157499999996" header="0.3" footer="0.3"/>
  <pageSetup paperSize="9" scale="65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15</vt:i4>
      </vt:variant>
    </vt:vector>
  </HeadingPairs>
  <TitlesOfParts>
    <vt:vector size="17" baseType="lpstr">
      <vt:lpstr>Berechnungen</vt:lpstr>
      <vt:lpstr>Tilgung zu Zins</vt:lpstr>
      <vt:lpstr>AnzahlSonder</vt:lpstr>
      <vt:lpstr>AnzahlZahlungen</vt:lpstr>
      <vt:lpstr>AnzahlZahlungNach</vt:lpstr>
      <vt:lpstr>Enddatum</vt:lpstr>
      <vt:lpstr>EnddatumNach</vt:lpstr>
      <vt:lpstr>Gesamtzahlung</vt:lpstr>
      <vt:lpstr>Kreditsumme</vt:lpstr>
      <vt:lpstr>LaufzeitJahre</vt:lpstr>
      <vt:lpstr>maxBereich</vt:lpstr>
      <vt:lpstr>Rate</vt:lpstr>
      <vt:lpstr>Restsumme</vt:lpstr>
      <vt:lpstr>Startdatum</vt:lpstr>
      <vt:lpstr>ZinsGesamt</vt:lpstr>
      <vt:lpstr>Zinssatz</vt:lpstr>
      <vt:lpstr>Zusatzmonate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Oglialoro</dc:creator>
  <cp:lastModifiedBy>Marco Oglialoro</cp:lastModifiedBy>
  <cp:lastPrinted>2015-09-01T14:35:43Z</cp:lastPrinted>
  <dcterms:created xsi:type="dcterms:W3CDTF">2015-05-05T05:44:41Z</dcterms:created>
  <dcterms:modified xsi:type="dcterms:W3CDTF">2018-04-12T19:56:10Z</dcterms:modified>
</cp:coreProperties>
</file>